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uario\Desktop\para subir\Formatos\Art 33\"/>
    </mc:Choice>
  </mc:AlternateContent>
  <bookViews>
    <workbookView xWindow="0" yWindow="0" windowWidth="23040" windowHeight="9264"/>
  </bookViews>
  <sheets>
    <sheet name="Reporte de Formatos" sheetId="1" r:id="rId1"/>
    <sheet name="Tabla_220616"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035" i="1" l="1"/>
  <c r="F1032" i="1"/>
  <c r="F1031" i="1"/>
  <c r="F1030" i="1"/>
  <c r="F1029" i="1"/>
  <c r="F1025" i="1"/>
  <c r="F1024" i="1"/>
  <c r="F1022" i="1"/>
  <c r="F1021" i="1"/>
  <c r="F1020" i="1"/>
  <c r="L1017" i="1"/>
  <c r="K1017" i="1"/>
  <c r="J1017" i="1"/>
  <c r="F1017" i="1"/>
  <c r="F1016" i="1"/>
  <c r="F1015" i="1"/>
  <c r="F1013" i="1"/>
  <c r="F1004" i="1"/>
  <c r="F1002" i="1"/>
  <c r="F1000" i="1"/>
  <c r="F999" i="1"/>
  <c r="F998" i="1"/>
  <c r="F997" i="1"/>
  <c r="F996" i="1"/>
  <c r="F995" i="1"/>
  <c r="L994" i="1"/>
  <c r="K994" i="1"/>
  <c r="J994" i="1"/>
  <c r="F994" i="1"/>
  <c r="L992" i="1"/>
  <c r="K992" i="1"/>
  <c r="J992" i="1"/>
  <c r="F992" i="1"/>
  <c r="L991" i="1"/>
  <c r="K991" i="1"/>
  <c r="J991" i="1"/>
  <c r="F991" i="1"/>
  <c r="F979" i="1"/>
  <c r="F978" i="1"/>
  <c r="F976" i="1"/>
  <c r="L975" i="1"/>
  <c r="K975" i="1"/>
  <c r="J975" i="1"/>
  <c r="F975" i="1"/>
  <c r="F824" i="1"/>
  <c r="E713" i="1"/>
  <c r="F703" i="1"/>
  <c r="F634" i="1"/>
  <c r="F627" i="1"/>
  <c r="F604" i="2"/>
  <c r="E604" i="2"/>
  <c r="D604" i="2"/>
  <c r="F599" i="2"/>
  <c r="E599" i="2"/>
  <c r="D599" i="2"/>
  <c r="F598" i="2"/>
  <c r="E598" i="2"/>
  <c r="D598" i="2"/>
  <c r="F596" i="2"/>
  <c r="E596" i="2"/>
  <c r="D596" i="2"/>
  <c r="F595" i="2"/>
  <c r="E595" i="2"/>
  <c r="D595" i="2"/>
  <c r="F593" i="2"/>
  <c r="E593" i="2"/>
  <c r="D593" i="2"/>
  <c r="F592" i="2"/>
  <c r="E592" i="2"/>
  <c r="D592" i="2"/>
  <c r="F585" i="2"/>
  <c r="E585" i="2"/>
  <c r="D585" i="2"/>
  <c r="F584" i="2"/>
  <c r="E584" i="2"/>
  <c r="D584" i="2"/>
  <c r="F583" i="2"/>
  <c r="E583" i="2"/>
  <c r="D583" i="2"/>
  <c r="F582" i="2"/>
  <c r="E582" i="2"/>
  <c r="D582" i="2"/>
  <c r="F581" i="2"/>
  <c r="E581" i="2"/>
  <c r="D581" i="2"/>
  <c r="F580" i="2"/>
  <c r="E580" i="2"/>
  <c r="D580" i="2"/>
  <c r="F579" i="2"/>
  <c r="E579" i="2"/>
  <c r="D579" i="2"/>
  <c r="F578" i="2"/>
  <c r="E578" i="2"/>
  <c r="D578" i="2"/>
  <c r="F576" i="2"/>
  <c r="E576" i="2"/>
  <c r="D576" i="2"/>
  <c r="F575" i="2"/>
  <c r="E575" i="2"/>
  <c r="D575" i="2"/>
  <c r="F574" i="2"/>
  <c r="E574" i="2"/>
  <c r="D574" i="2"/>
  <c r="F569" i="2"/>
  <c r="E569" i="2"/>
  <c r="D569" i="2"/>
  <c r="F567" i="2"/>
  <c r="E567" i="2"/>
  <c r="D567" i="2"/>
  <c r="F566" i="2"/>
  <c r="E566" i="2"/>
  <c r="D566" i="2"/>
  <c r="F564" i="2"/>
  <c r="E564" i="2"/>
  <c r="D564" i="2"/>
  <c r="F560" i="2"/>
  <c r="E560" i="2"/>
  <c r="D560" i="2"/>
  <c r="F559" i="2"/>
  <c r="E559" i="2"/>
  <c r="D559" i="2"/>
  <c r="F556" i="2"/>
  <c r="E556" i="2"/>
  <c r="D556" i="2"/>
  <c r="F554" i="2"/>
  <c r="E554" i="2"/>
  <c r="D554" i="2"/>
  <c r="F553" i="2"/>
  <c r="E553" i="2"/>
  <c r="D553" i="2"/>
  <c r="F548" i="2"/>
  <c r="E548" i="2"/>
  <c r="D548" i="2"/>
  <c r="F547" i="2"/>
  <c r="E547" i="2"/>
  <c r="D547" i="2"/>
  <c r="F546" i="2"/>
  <c r="E546" i="2"/>
  <c r="D546" i="2"/>
  <c r="F545" i="2"/>
  <c r="E545" i="2"/>
  <c r="D545" i="2"/>
  <c r="F544" i="2"/>
  <c r="E544" i="2"/>
  <c r="D544" i="2"/>
  <c r="F543" i="2"/>
  <c r="E543" i="2"/>
  <c r="D543" i="2"/>
  <c r="F541" i="2"/>
  <c r="E541" i="2"/>
  <c r="D541" i="2"/>
  <c r="F540" i="2"/>
  <c r="E540" i="2"/>
  <c r="D540" i="2"/>
  <c r="F536" i="2"/>
  <c r="E536" i="2"/>
  <c r="D536" i="2"/>
  <c r="F534" i="2"/>
  <c r="E534" i="2"/>
  <c r="D534" i="2"/>
  <c r="F533" i="2"/>
  <c r="E533" i="2"/>
  <c r="D533" i="2"/>
  <c r="F532" i="2"/>
  <c r="E532" i="2"/>
  <c r="D532" i="2"/>
  <c r="F531" i="2"/>
  <c r="E531" i="2"/>
  <c r="D531" i="2"/>
  <c r="F529" i="2"/>
  <c r="E529" i="2"/>
  <c r="D529" i="2"/>
  <c r="F528" i="2"/>
  <c r="E528" i="2"/>
  <c r="D528" i="2"/>
  <c r="F527" i="2"/>
  <c r="E527" i="2"/>
  <c r="D527" i="2"/>
  <c r="F524" i="2"/>
  <c r="E524" i="2"/>
  <c r="D524" i="2"/>
  <c r="F519" i="2"/>
  <c r="E519" i="2"/>
  <c r="D519" i="2"/>
  <c r="F517" i="2"/>
  <c r="E517" i="2"/>
  <c r="D517" i="2"/>
  <c r="F516" i="2"/>
  <c r="E516" i="2"/>
  <c r="D516" i="2"/>
  <c r="F515" i="2"/>
  <c r="E515" i="2"/>
  <c r="D515" i="2"/>
  <c r="F514" i="2"/>
  <c r="E514" i="2"/>
  <c r="D514" i="2"/>
  <c r="F512" i="2"/>
  <c r="E512" i="2"/>
  <c r="D512" i="2"/>
  <c r="F510" i="2"/>
  <c r="E510" i="2"/>
  <c r="D510" i="2"/>
  <c r="F507" i="2"/>
  <c r="E507" i="2"/>
  <c r="D507" i="2"/>
  <c r="F505" i="2"/>
  <c r="E505" i="2"/>
  <c r="D505" i="2"/>
  <c r="F504" i="2"/>
  <c r="E504" i="2"/>
  <c r="D504" i="2"/>
  <c r="F503" i="2"/>
  <c r="E503" i="2"/>
  <c r="D503" i="2"/>
  <c r="F502" i="2"/>
  <c r="E502" i="2"/>
  <c r="D502" i="2"/>
  <c r="F499" i="2"/>
  <c r="E499" i="2"/>
  <c r="D499" i="2"/>
  <c r="F497" i="2"/>
  <c r="E497" i="2"/>
  <c r="D497" i="2"/>
  <c r="F496" i="2"/>
  <c r="E496" i="2"/>
  <c r="D496" i="2"/>
  <c r="F495" i="2"/>
  <c r="E495" i="2"/>
  <c r="D495" i="2"/>
  <c r="F494" i="2"/>
  <c r="E494" i="2"/>
  <c r="D494" i="2"/>
  <c r="F493" i="2"/>
  <c r="E493" i="2"/>
  <c r="D493" i="2"/>
  <c r="F492" i="2"/>
  <c r="E492" i="2"/>
  <c r="D492" i="2"/>
  <c r="F491" i="2"/>
  <c r="E491" i="2"/>
  <c r="D491" i="2"/>
  <c r="F488" i="2"/>
  <c r="E488" i="2"/>
  <c r="D488" i="2"/>
  <c r="F487" i="2"/>
  <c r="E487" i="2"/>
  <c r="D487" i="2"/>
  <c r="F486" i="2"/>
  <c r="E486" i="2"/>
  <c r="D486" i="2"/>
  <c r="F485" i="2"/>
  <c r="E485" i="2"/>
  <c r="D485" i="2"/>
  <c r="F484" i="2"/>
  <c r="E484" i="2"/>
  <c r="D484" i="2"/>
  <c r="F482" i="2"/>
  <c r="E482" i="2"/>
  <c r="D482" i="2"/>
  <c r="F480" i="2"/>
  <c r="E480" i="2"/>
  <c r="D480" i="2"/>
  <c r="F473" i="2"/>
  <c r="E473" i="2"/>
  <c r="D473" i="2"/>
  <c r="F472" i="2"/>
  <c r="E472" i="2"/>
  <c r="D472" i="2"/>
  <c r="F470" i="2"/>
  <c r="E470" i="2"/>
  <c r="D470" i="2"/>
  <c r="F469" i="2"/>
  <c r="E469" i="2"/>
  <c r="D469" i="2"/>
  <c r="F468" i="2"/>
  <c r="E468" i="2"/>
  <c r="D468" i="2"/>
  <c r="F467" i="2"/>
  <c r="E467" i="2"/>
  <c r="D467" i="2"/>
  <c r="F466" i="2"/>
  <c r="E466" i="2"/>
  <c r="D466" i="2"/>
  <c r="F465" i="2"/>
  <c r="E465" i="2"/>
  <c r="D465" i="2"/>
  <c r="F464" i="2"/>
  <c r="E464" i="2"/>
  <c r="D464" i="2"/>
  <c r="F461" i="2"/>
  <c r="E461" i="2"/>
  <c r="D461" i="2"/>
  <c r="F454" i="2"/>
  <c r="E454" i="2"/>
  <c r="D454" i="2"/>
  <c r="F453" i="2"/>
  <c r="E453" i="2"/>
  <c r="D453" i="2"/>
  <c r="F452" i="2"/>
  <c r="E452" i="2"/>
  <c r="D452" i="2"/>
  <c r="F450" i="2"/>
  <c r="E450" i="2"/>
  <c r="D450" i="2"/>
  <c r="F449" i="2"/>
  <c r="E449" i="2"/>
  <c r="D449" i="2"/>
  <c r="F446" i="2"/>
  <c r="E446" i="2"/>
  <c r="D446" i="2"/>
  <c r="F445" i="2"/>
  <c r="E445" i="2"/>
  <c r="D445" i="2"/>
  <c r="F443" i="2"/>
  <c r="E443" i="2"/>
  <c r="D443" i="2"/>
  <c r="F433" i="2"/>
  <c r="E433" i="2"/>
  <c r="D433" i="2"/>
  <c r="F428" i="2"/>
  <c r="E428" i="2"/>
  <c r="D428" i="2"/>
  <c r="F427" i="2"/>
  <c r="E427" i="2"/>
  <c r="D427" i="2"/>
  <c r="F425" i="2"/>
  <c r="E425" i="2"/>
  <c r="D425" i="2"/>
  <c r="F424" i="2"/>
  <c r="E424" i="2"/>
  <c r="D424" i="2"/>
  <c r="F423" i="2"/>
  <c r="E423" i="2"/>
  <c r="D423" i="2"/>
  <c r="F422" i="2"/>
  <c r="E422" i="2"/>
  <c r="D422" i="2"/>
  <c r="F421" i="2"/>
  <c r="E421" i="2"/>
  <c r="D421" i="2"/>
  <c r="F419" i="2"/>
  <c r="E419" i="2"/>
  <c r="D419" i="2"/>
  <c r="F418" i="2"/>
  <c r="E418" i="2"/>
  <c r="D418" i="2"/>
  <c r="F417" i="2"/>
  <c r="E417" i="2"/>
  <c r="D417" i="2"/>
  <c r="F412" i="2"/>
  <c r="E412" i="2"/>
  <c r="D412" i="2"/>
  <c r="F410" i="2"/>
  <c r="E410" i="2"/>
  <c r="D410" i="2"/>
  <c r="F409" i="2"/>
  <c r="E409" i="2"/>
  <c r="D409" i="2"/>
  <c r="F407" i="2"/>
  <c r="E407" i="2"/>
  <c r="D407" i="2"/>
  <c r="F404" i="2"/>
  <c r="E404" i="2"/>
  <c r="D404" i="2"/>
  <c r="F403" i="2"/>
  <c r="E403" i="2"/>
  <c r="D403" i="2"/>
  <c r="F400" i="2"/>
  <c r="E400" i="2"/>
  <c r="D400" i="2"/>
  <c r="F398" i="2"/>
  <c r="E398" i="2"/>
  <c r="D398" i="2"/>
  <c r="F397" i="2"/>
  <c r="E397" i="2"/>
  <c r="D397" i="2"/>
  <c r="F392" i="2"/>
  <c r="E392" i="2"/>
  <c r="D392" i="2"/>
  <c r="F391" i="2"/>
  <c r="E391" i="2"/>
  <c r="D391" i="2"/>
  <c r="F390" i="2"/>
  <c r="E390" i="2"/>
  <c r="D390" i="2"/>
  <c r="F389" i="2"/>
  <c r="E389" i="2"/>
  <c r="D389" i="2"/>
  <c r="F388" i="2"/>
  <c r="E388" i="2"/>
  <c r="D388" i="2"/>
  <c r="F387" i="2"/>
  <c r="E387" i="2"/>
  <c r="D387" i="2"/>
  <c r="F386" i="2"/>
  <c r="E386" i="2"/>
  <c r="D386" i="2"/>
  <c r="F385" i="2"/>
  <c r="E385" i="2"/>
  <c r="D385" i="2"/>
  <c r="F378" i="2"/>
  <c r="E378" i="2"/>
  <c r="D378" i="2"/>
  <c r="F377" i="2"/>
  <c r="E377" i="2"/>
  <c r="D377" i="2"/>
  <c r="F376" i="2"/>
  <c r="E376" i="2"/>
  <c r="D376" i="2"/>
  <c r="F375" i="2"/>
  <c r="E375" i="2"/>
  <c r="D375" i="2"/>
  <c r="F373" i="2"/>
  <c r="E373" i="2"/>
  <c r="D373" i="2"/>
  <c r="F372" i="2"/>
  <c r="E372" i="2"/>
  <c r="D372" i="2"/>
  <c r="F371" i="2"/>
  <c r="E371" i="2"/>
  <c r="D371" i="2"/>
  <c r="F368" i="2"/>
  <c r="E368" i="2"/>
  <c r="D368" i="2"/>
  <c r="F363" i="2"/>
  <c r="E363" i="2"/>
  <c r="D363" i="2"/>
  <c r="F361" i="2"/>
  <c r="E361" i="2"/>
  <c r="D361" i="2"/>
  <c r="F360" i="2"/>
  <c r="E360" i="2"/>
  <c r="D360" i="2"/>
  <c r="F359" i="2"/>
  <c r="E359" i="2"/>
  <c r="D359" i="2"/>
  <c r="F358" i="2"/>
  <c r="E358" i="2"/>
  <c r="D358" i="2"/>
  <c r="F356" i="2"/>
  <c r="E356" i="2"/>
  <c r="D356" i="2"/>
  <c r="F349" i="2"/>
  <c r="E349" i="2"/>
  <c r="D349" i="2"/>
  <c r="F348" i="2"/>
  <c r="E348" i="2"/>
  <c r="D348" i="2"/>
  <c r="F347" i="2"/>
  <c r="E347" i="2"/>
  <c r="D347" i="2"/>
  <c r="F346" i="2"/>
  <c r="E346" i="2"/>
  <c r="D346" i="2"/>
  <c r="F341" i="2"/>
  <c r="E341" i="2"/>
  <c r="D341" i="2"/>
  <c r="F340" i="2"/>
  <c r="E340" i="2"/>
  <c r="D340" i="2"/>
  <c r="F339" i="2"/>
  <c r="E339" i="2"/>
  <c r="D339" i="2"/>
  <c r="F338" i="2"/>
  <c r="E338" i="2"/>
  <c r="D338" i="2"/>
  <c r="F337" i="2"/>
  <c r="E337" i="2"/>
  <c r="D337" i="2"/>
  <c r="F336" i="2"/>
  <c r="E336" i="2"/>
  <c r="D336" i="2"/>
  <c r="F335" i="2"/>
  <c r="E335" i="2"/>
  <c r="D335" i="2"/>
  <c r="F333" i="2"/>
  <c r="E333" i="2"/>
  <c r="D333" i="2"/>
  <c r="F332" i="2"/>
  <c r="E332" i="2"/>
  <c r="D332" i="2"/>
  <c r="F331" i="2"/>
  <c r="E331" i="2"/>
  <c r="D331" i="2"/>
  <c r="F330" i="2"/>
  <c r="E330" i="2"/>
  <c r="D330" i="2"/>
  <c r="F329" i="2"/>
  <c r="E329" i="2"/>
  <c r="D329" i="2"/>
  <c r="F327" i="2"/>
  <c r="E327" i="2"/>
  <c r="D327" i="2"/>
  <c r="F325" i="2"/>
  <c r="E325" i="2"/>
  <c r="D325" i="2"/>
  <c r="F318" i="2"/>
  <c r="E318" i="2"/>
  <c r="D318" i="2"/>
  <c r="F317" i="2"/>
  <c r="E317" i="2"/>
  <c r="D317" i="2"/>
  <c r="F315" i="2"/>
  <c r="E315" i="2"/>
  <c r="D315" i="2"/>
  <c r="F314" i="2"/>
  <c r="E314" i="2"/>
  <c r="D314" i="2"/>
  <c r="F313" i="2"/>
  <c r="E313" i="2"/>
  <c r="D313" i="2"/>
  <c r="F312" i="2"/>
  <c r="E312" i="2"/>
  <c r="D312" i="2"/>
  <c r="F311" i="2"/>
  <c r="E311" i="2"/>
  <c r="D311" i="2"/>
  <c r="F310" i="2"/>
  <c r="E310" i="2"/>
  <c r="D310" i="2"/>
  <c r="F309" i="2"/>
  <c r="E309" i="2"/>
  <c r="D309" i="2"/>
  <c r="F306" i="2"/>
  <c r="E306" i="2"/>
  <c r="D306" i="2"/>
  <c r="F297" i="2"/>
  <c r="E297" i="2"/>
  <c r="D297" i="2"/>
  <c r="F295" i="2"/>
  <c r="E295" i="2"/>
  <c r="D295" i="2"/>
  <c r="F291" i="2"/>
  <c r="E291" i="2"/>
  <c r="D291" i="2"/>
  <c r="F290" i="2"/>
  <c r="E290" i="2"/>
  <c r="D290" i="2"/>
  <c r="F239" i="2"/>
  <c r="E239" i="2"/>
  <c r="D239" i="2"/>
  <c r="F212" i="2"/>
  <c r="E212" i="2"/>
  <c r="D212" i="2"/>
  <c r="F194" i="2"/>
  <c r="E194" i="2"/>
  <c r="D194" i="2"/>
  <c r="F166" i="2"/>
  <c r="E166" i="2"/>
  <c r="D166" i="2"/>
  <c r="F159" i="2"/>
  <c r="E159" i="2"/>
  <c r="D159" i="2"/>
  <c r="F150" i="2"/>
  <c r="E150" i="2"/>
  <c r="D150" i="2"/>
  <c r="F97" i="2"/>
  <c r="E97" i="2"/>
  <c r="D97" i="2"/>
  <c r="F70" i="2"/>
  <c r="E70" i="2"/>
  <c r="D70" i="2"/>
  <c r="F52" i="2"/>
  <c r="E52" i="2"/>
  <c r="D52" i="2"/>
  <c r="F24" i="2"/>
  <c r="E24" i="2"/>
  <c r="D24" i="2"/>
  <c r="F17" i="2"/>
  <c r="E17" i="2"/>
  <c r="D17" i="2"/>
  <c r="F8" i="2"/>
  <c r="E8" i="2"/>
  <c r="D8" i="2"/>
  <c r="K608" i="1"/>
  <c r="K605" i="1"/>
  <c r="K603" i="1"/>
  <c r="K602" i="1"/>
  <c r="K600" i="1"/>
  <c r="K599" i="1"/>
  <c r="K597" i="1"/>
  <c r="K596" i="1"/>
  <c r="K593" i="1"/>
  <c r="K592" i="1"/>
  <c r="K591" i="1"/>
  <c r="K590" i="1"/>
  <c r="K589" i="1"/>
  <c r="K588" i="1"/>
  <c r="K587" i="1"/>
  <c r="K586" i="1"/>
  <c r="K585" i="1"/>
  <c r="K584" i="1"/>
  <c r="K583" i="1"/>
  <c r="K582" i="1"/>
  <c r="K580" i="1"/>
  <c r="K579" i="1"/>
  <c r="K578" i="1"/>
  <c r="K573" i="1"/>
  <c r="K571" i="1"/>
  <c r="K570" i="1"/>
  <c r="K568" i="1"/>
  <c r="K564" i="1"/>
  <c r="K563" i="1"/>
  <c r="K558" i="1"/>
  <c r="K557" i="1"/>
  <c r="K552" i="1"/>
  <c r="K551" i="1"/>
  <c r="K550" i="1"/>
  <c r="K549" i="1"/>
  <c r="K548" i="1"/>
  <c r="K547" i="1"/>
  <c r="K545" i="1"/>
  <c r="K544" i="1"/>
  <c r="K542" i="1"/>
  <c r="K540" i="1"/>
  <c r="K538" i="1"/>
  <c r="K537" i="1"/>
  <c r="K536" i="1"/>
  <c r="K535" i="1"/>
  <c r="K533" i="1"/>
  <c r="K532" i="1"/>
  <c r="K531" i="1"/>
  <c r="K530" i="1"/>
  <c r="K528" i="1"/>
  <c r="K525" i="1"/>
  <c r="K523" i="1"/>
  <c r="K521" i="1"/>
  <c r="K520" i="1"/>
  <c r="K519" i="1"/>
  <c r="K518" i="1"/>
  <c r="K516" i="1"/>
  <c r="K514" i="1"/>
  <c r="K511" i="1"/>
  <c r="K509" i="1"/>
  <c r="K508" i="1"/>
  <c r="K507" i="1"/>
  <c r="K506" i="1"/>
  <c r="K503" i="1"/>
  <c r="K501" i="1"/>
  <c r="K500" i="1"/>
  <c r="K499" i="1"/>
  <c r="K498" i="1"/>
  <c r="K497" i="1"/>
  <c r="K496" i="1"/>
  <c r="K495" i="1"/>
  <c r="K492" i="1"/>
  <c r="K491" i="1"/>
  <c r="K490" i="1"/>
  <c r="K489" i="1"/>
  <c r="K488" i="1"/>
  <c r="K486" i="1"/>
  <c r="K485" i="1"/>
  <c r="K484" i="1"/>
  <c r="K483" i="1"/>
  <c r="K477" i="1"/>
  <c r="K476" i="1"/>
  <c r="K474" i="1"/>
  <c r="K473" i="1"/>
  <c r="K472" i="1"/>
  <c r="K471" i="1"/>
  <c r="K470" i="1"/>
  <c r="K469" i="1"/>
  <c r="K468" i="1"/>
  <c r="J468" i="1"/>
  <c r="K465" i="1"/>
  <c r="K458" i="1"/>
  <c r="K457" i="1"/>
  <c r="K456" i="1"/>
  <c r="K454" i="1"/>
  <c r="K453" i="1"/>
  <c r="K450" i="1"/>
  <c r="K449" i="1"/>
  <c r="L447" i="1"/>
  <c r="K447" i="1"/>
  <c r="K445" i="1"/>
  <c r="K443" i="1"/>
  <c r="K442" i="1"/>
  <c r="K440" i="1"/>
  <c r="K439" i="1"/>
  <c r="L437" i="1"/>
  <c r="K437" i="1"/>
  <c r="K434" i="1"/>
  <c r="K433" i="1"/>
  <c r="L432" i="1"/>
  <c r="K432" i="1"/>
  <c r="L431" i="1"/>
  <c r="K431" i="1"/>
  <c r="K430" i="1"/>
  <c r="L429" i="1"/>
  <c r="K429" i="1"/>
  <c r="L428" i="1"/>
  <c r="K428" i="1"/>
  <c r="L427" i="1"/>
  <c r="K427" i="1"/>
  <c r="L426" i="1"/>
  <c r="K426" i="1"/>
  <c r="L425" i="1"/>
  <c r="L423" i="1"/>
  <c r="K423" i="1"/>
  <c r="L422" i="1"/>
  <c r="K422" i="1"/>
  <c r="L421" i="1"/>
  <c r="K421" i="1"/>
  <c r="L416" i="1"/>
  <c r="K416" i="1"/>
  <c r="L414" i="1"/>
  <c r="K414" i="1"/>
  <c r="L413" i="1"/>
  <c r="K413" i="1"/>
  <c r="L411" i="1"/>
  <c r="K411" i="1"/>
  <c r="L408" i="1"/>
  <c r="K408" i="1"/>
  <c r="L407" i="1"/>
  <c r="K407" i="1"/>
  <c r="L404" i="1"/>
  <c r="L402" i="1"/>
  <c r="K402" i="1"/>
  <c r="L401" i="1"/>
  <c r="K401" i="1"/>
  <c r="L396" i="1"/>
  <c r="K396" i="1"/>
  <c r="L395" i="1"/>
  <c r="K395" i="1"/>
  <c r="L394" i="1"/>
  <c r="K394" i="1"/>
  <c r="L393" i="1"/>
  <c r="K393" i="1"/>
  <c r="L392" i="1"/>
  <c r="K392" i="1"/>
  <c r="L391" i="1"/>
  <c r="K391" i="1"/>
  <c r="L390" i="1"/>
  <c r="K390" i="1"/>
  <c r="L389" i="1"/>
  <c r="K389" i="1"/>
  <c r="K388" i="1"/>
  <c r="K387" i="1"/>
  <c r="K385" i="1"/>
  <c r="L382" i="1"/>
  <c r="K382" i="1"/>
  <c r="L381" i="1"/>
  <c r="K381" i="1"/>
  <c r="L380" i="1"/>
  <c r="K380" i="1"/>
  <c r="L379" i="1"/>
  <c r="K379" i="1"/>
  <c r="L377" i="1"/>
  <c r="K377" i="1"/>
  <c r="L376" i="1"/>
  <c r="K376" i="1"/>
  <c r="L375" i="1"/>
  <c r="K375" i="1"/>
  <c r="K374" i="1"/>
  <c r="L372" i="1"/>
  <c r="K372" i="1"/>
  <c r="K369" i="1"/>
  <c r="L367" i="1"/>
  <c r="K367" i="1"/>
  <c r="L365" i="1"/>
  <c r="K365" i="1"/>
  <c r="L364" i="1"/>
  <c r="K364" i="1"/>
  <c r="L363" i="1"/>
  <c r="K363" i="1"/>
  <c r="L362" i="1"/>
  <c r="K362" i="1"/>
  <c r="L360" i="1"/>
  <c r="K360" i="1"/>
  <c r="K358" i="1"/>
  <c r="L353" i="1"/>
  <c r="K353" i="1"/>
  <c r="L352" i="1"/>
  <c r="K352" i="1"/>
  <c r="L351" i="1"/>
  <c r="K351" i="1"/>
  <c r="L350" i="1"/>
  <c r="K350" i="1"/>
  <c r="K347" i="1"/>
  <c r="L345" i="1"/>
  <c r="K345" i="1"/>
  <c r="L344" i="1"/>
  <c r="K344" i="1"/>
  <c r="L343" i="1"/>
  <c r="K343" i="1"/>
  <c r="L342" i="1"/>
  <c r="K342" i="1"/>
  <c r="L341" i="1"/>
  <c r="K341" i="1"/>
  <c r="L340" i="1"/>
  <c r="K340" i="1"/>
  <c r="L339" i="1"/>
  <c r="K339" i="1"/>
  <c r="L337" i="1"/>
  <c r="K337" i="1"/>
  <c r="L336" i="1"/>
  <c r="K336" i="1"/>
  <c r="L335" i="1"/>
  <c r="K335" i="1"/>
  <c r="L334" i="1"/>
  <c r="K334" i="1"/>
  <c r="L333" i="1"/>
  <c r="K333" i="1"/>
  <c r="L331" i="1"/>
  <c r="K331" i="1"/>
  <c r="K330" i="1"/>
  <c r="L329" i="1"/>
  <c r="K329" i="1"/>
  <c r="K325" i="1"/>
  <c r="L322" i="1"/>
  <c r="K322" i="1"/>
  <c r="L321" i="1"/>
  <c r="K321" i="1"/>
  <c r="L319" i="1"/>
  <c r="K319" i="1"/>
  <c r="L318" i="1"/>
  <c r="K318" i="1"/>
  <c r="L317" i="1"/>
  <c r="K317" i="1"/>
  <c r="L316" i="1"/>
  <c r="K316" i="1"/>
  <c r="L315" i="1"/>
  <c r="K315" i="1"/>
  <c r="L314" i="1"/>
  <c r="K314" i="1"/>
  <c r="L313" i="1"/>
  <c r="K313" i="1"/>
  <c r="J313" i="1"/>
  <c r="L310" i="1"/>
  <c r="K310" i="1"/>
  <c r="L301" i="1"/>
  <c r="K301" i="1"/>
  <c r="L299" i="1"/>
  <c r="K299" i="1"/>
  <c r="L295" i="1"/>
  <c r="K295" i="1"/>
  <c r="L294" i="1"/>
  <c r="K294" i="1"/>
  <c r="K292" i="1"/>
  <c r="K245" i="1"/>
  <c r="L243" i="1"/>
  <c r="K242" i="1"/>
  <c r="L216" i="1"/>
  <c r="K216" i="1"/>
  <c r="K215" i="1"/>
  <c r="K214" i="1"/>
  <c r="K213" i="1"/>
  <c r="L198" i="1"/>
  <c r="L170" i="1"/>
  <c r="K169" i="1"/>
  <c r="J169" i="1"/>
  <c r="L163" i="1"/>
  <c r="K163" i="1"/>
  <c r="L154" i="1"/>
  <c r="K103" i="1"/>
  <c r="L101" i="1"/>
  <c r="K100" i="1"/>
  <c r="L74" i="1"/>
  <c r="K74" i="1"/>
  <c r="K73" i="1"/>
  <c r="K72" i="1"/>
  <c r="K71" i="1"/>
  <c r="L56" i="1"/>
  <c r="L28" i="1"/>
  <c r="K27" i="1"/>
  <c r="J27" i="1"/>
  <c r="L21" i="1"/>
  <c r="K21" i="1"/>
  <c r="L12" i="1"/>
  <c r="F608" i="1"/>
  <c r="F605" i="1"/>
  <c r="F603" i="1"/>
  <c r="F602" i="1"/>
  <c r="F600" i="1"/>
  <c r="F599" i="1"/>
  <c r="F597" i="1"/>
  <c r="F596" i="1"/>
  <c r="F593" i="1"/>
  <c r="F592" i="1"/>
  <c r="F591" i="1"/>
  <c r="F590" i="1"/>
  <c r="F589" i="1"/>
  <c r="F588" i="1"/>
  <c r="F587" i="1"/>
  <c r="F586" i="1"/>
  <c r="F585" i="1"/>
  <c r="F584" i="1"/>
  <c r="F583" i="1"/>
  <c r="F582" i="1"/>
  <c r="F580" i="1"/>
  <c r="F579" i="1"/>
  <c r="F578" i="1"/>
  <c r="F573" i="1"/>
  <c r="F571" i="1"/>
  <c r="F570" i="1"/>
  <c r="F568" i="1"/>
  <c r="F564" i="1"/>
  <c r="F563" i="1"/>
  <c r="F558" i="1"/>
  <c r="F557" i="1"/>
  <c r="F552" i="1"/>
  <c r="F551" i="1"/>
  <c r="F550" i="1"/>
  <c r="F549" i="1"/>
  <c r="F548" i="1"/>
  <c r="F547" i="1"/>
  <c r="F545" i="1"/>
  <c r="F544" i="1"/>
  <c r="F542" i="1"/>
  <c r="F540" i="1"/>
  <c r="F538" i="1"/>
  <c r="F537" i="1"/>
  <c r="F536" i="1"/>
  <c r="F535" i="1"/>
  <c r="F533" i="1"/>
  <c r="F532" i="1"/>
  <c r="F531" i="1"/>
  <c r="F530" i="1"/>
  <c r="F528" i="1"/>
  <c r="F525" i="1"/>
  <c r="F523" i="1"/>
  <c r="F521" i="1"/>
  <c r="F520" i="1"/>
  <c r="F519" i="1"/>
  <c r="F518" i="1"/>
  <c r="F516" i="1"/>
  <c r="F514" i="1"/>
  <c r="F511" i="1"/>
  <c r="F509" i="1"/>
  <c r="F508" i="1"/>
  <c r="F507" i="1"/>
  <c r="F506" i="1"/>
  <c r="F503" i="1"/>
  <c r="F501" i="1"/>
  <c r="F500" i="1"/>
  <c r="F499" i="1"/>
  <c r="F498" i="1"/>
  <c r="F497" i="1"/>
  <c r="F496" i="1"/>
  <c r="F495" i="1"/>
  <c r="F492" i="1"/>
  <c r="F491" i="1"/>
  <c r="F490" i="1"/>
  <c r="F489" i="1"/>
  <c r="F488" i="1"/>
  <c r="F486" i="1"/>
  <c r="F485" i="1"/>
  <c r="F484" i="1"/>
  <c r="F483" i="1"/>
  <c r="F477" i="1"/>
  <c r="F476" i="1"/>
  <c r="F474" i="1"/>
  <c r="F473" i="1"/>
  <c r="F472" i="1"/>
  <c r="F471" i="1"/>
  <c r="F470" i="1"/>
  <c r="F469" i="1"/>
  <c r="F468" i="1"/>
  <c r="E468" i="1"/>
  <c r="F465" i="1"/>
  <c r="F458" i="1"/>
  <c r="F457" i="1"/>
  <c r="F456" i="1"/>
  <c r="F454" i="1"/>
  <c r="F453" i="1"/>
  <c r="F450" i="1"/>
  <c r="F449" i="1"/>
  <c r="G447" i="1"/>
  <c r="F447" i="1"/>
  <c r="F445" i="1"/>
  <c r="F443" i="1"/>
  <c r="F442" i="1"/>
  <c r="F440" i="1"/>
  <c r="F439" i="1"/>
  <c r="G437" i="1"/>
  <c r="F437" i="1"/>
  <c r="F434" i="1"/>
  <c r="F433" i="1"/>
  <c r="G432" i="1"/>
  <c r="F432" i="1"/>
  <c r="G431" i="1"/>
  <c r="F431" i="1"/>
  <c r="F430" i="1"/>
  <c r="G429" i="1"/>
  <c r="F429" i="1"/>
  <c r="G428" i="1"/>
  <c r="F428" i="1"/>
  <c r="G427" i="1"/>
  <c r="F427" i="1"/>
  <c r="G426" i="1"/>
  <c r="F426" i="1"/>
  <c r="G425" i="1"/>
  <c r="G423" i="1"/>
  <c r="F423" i="1"/>
  <c r="G422" i="1"/>
  <c r="F422" i="1"/>
  <c r="G421" i="1"/>
  <c r="F421" i="1"/>
  <c r="G416" i="1"/>
  <c r="F416" i="1"/>
  <c r="G414" i="1"/>
  <c r="F414" i="1"/>
  <c r="G413" i="1"/>
  <c r="F413" i="1"/>
  <c r="G411" i="1"/>
  <c r="F411" i="1"/>
  <c r="G408" i="1"/>
  <c r="F408" i="1"/>
  <c r="G407" i="1"/>
  <c r="F407" i="1"/>
  <c r="G404" i="1"/>
  <c r="G402" i="1"/>
  <c r="F402" i="1"/>
  <c r="G401" i="1"/>
  <c r="F401" i="1"/>
  <c r="G396" i="1"/>
  <c r="F396" i="1"/>
  <c r="G395" i="1"/>
  <c r="F395" i="1"/>
  <c r="G394" i="1"/>
  <c r="F394" i="1"/>
  <c r="G393" i="1"/>
  <c r="F393" i="1"/>
  <c r="G392" i="1"/>
  <c r="F392" i="1"/>
  <c r="G391" i="1"/>
  <c r="F391" i="1"/>
  <c r="G390" i="1"/>
  <c r="F390" i="1"/>
  <c r="G389" i="1"/>
  <c r="F389" i="1"/>
  <c r="F388" i="1"/>
  <c r="F387" i="1"/>
  <c r="F385" i="1"/>
  <c r="G382" i="1"/>
  <c r="F382" i="1"/>
  <c r="G381" i="1"/>
  <c r="F381" i="1"/>
  <c r="G380" i="1"/>
  <c r="F380" i="1"/>
  <c r="G379" i="1"/>
  <c r="F379" i="1"/>
  <c r="G377" i="1"/>
  <c r="F377" i="1"/>
  <c r="G376" i="1"/>
  <c r="F376" i="1"/>
  <c r="G375" i="1"/>
  <c r="F375" i="1"/>
  <c r="F374" i="1"/>
  <c r="G372" i="1"/>
  <c r="F372" i="1"/>
  <c r="F369" i="1"/>
  <c r="G367" i="1"/>
  <c r="F367" i="1"/>
  <c r="G365" i="1"/>
  <c r="F365" i="1"/>
  <c r="G364" i="1"/>
  <c r="F364" i="1"/>
  <c r="G363" i="1"/>
  <c r="F363" i="1"/>
  <c r="G362" i="1"/>
  <c r="F362" i="1"/>
  <c r="G360" i="1"/>
  <c r="F360" i="1"/>
  <c r="F358" i="1"/>
  <c r="G353" i="1"/>
  <c r="F353" i="1"/>
  <c r="G352" i="1"/>
  <c r="F352" i="1"/>
  <c r="G351" i="1"/>
  <c r="F351" i="1"/>
  <c r="G350" i="1"/>
  <c r="F350" i="1"/>
  <c r="F347" i="1"/>
  <c r="G345" i="1"/>
  <c r="F345" i="1"/>
  <c r="G344" i="1"/>
  <c r="F344" i="1"/>
  <c r="G343" i="1"/>
  <c r="F343" i="1"/>
  <c r="G342" i="1"/>
  <c r="F342" i="1"/>
  <c r="G341" i="1"/>
  <c r="F341" i="1"/>
  <c r="G340" i="1"/>
  <c r="F340" i="1"/>
  <c r="G339" i="1"/>
  <c r="F339" i="1"/>
  <c r="G337" i="1"/>
  <c r="F337" i="1"/>
  <c r="G336" i="1"/>
  <c r="F336" i="1"/>
  <c r="G335" i="1"/>
  <c r="F335" i="1"/>
  <c r="G334" i="1"/>
  <c r="F334" i="1"/>
  <c r="G333" i="1"/>
  <c r="F333" i="1"/>
  <c r="G331" i="1"/>
  <c r="F331" i="1"/>
  <c r="F330" i="1"/>
  <c r="G329" i="1"/>
  <c r="F329" i="1"/>
  <c r="F325" i="1"/>
  <c r="G322" i="1"/>
  <c r="F322" i="1"/>
  <c r="G321" i="1"/>
  <c r="F321" i="1"/>
  <c r="G319" i="1"/>
  <c r="F319" i="1"/>
  <c r="G318" i="1"/>
  <c r="F318" i="1"/>
  <c r="G317" i="1"/>
  <c r="F317" i="1"/>
  <c r="G316" i="1"/>
  <c r="F316" i="1"/>
  <c r="G315" i="1"/>
  <c r="F315" i="1"/>
  <c r="G314" i="1"/>
  <c r="F314" i="1"/>
  <c r="G313" i="1"/>
  <c r="F313" i="1"/>
  <c r="E313" i="1"/>
  <c r="G310" i="1"/>
  <c r="F310" i="1"/>
  <c r="G301" i="1"/>
  <c r="F301" i="1"/>
  <c r="G299" i="1"/>
  <c r="F299" i="1"/>
  <c r="G295" i="1"/>
  <c r="F295" i="1"/>
  <c r="G294" i="1"/>
  <c r="F294" i="1"/>
  <c r="F292" i="1"/>
  <c r="F245" i="1"/>
  <c r="G243" i="1"/>
  <c r="F242" i="1"/>
  <c r="G216" i="1"/>
  <c r="F216" i="1"/>
  <c r="F215" i="1"/>
  <c r="F214" i="1"/>
  <c r="F213" i="1"/>
  <c r="G198" i="1"/>
  <c r="G170" i="1"/>
  <c r="F169" i="1"/>
  <c r="E169" i="1"/>
  <c r="G163" i="1"/>
  <c r="F163" i="1"/>
  <c r="G154" i="1"/>
  <c r="F103" i="1"/>
  <c r="G101" i="1"/>
  <c r="F100" i="1"/>
  <c r="G74" i="1"/>
  <c r="F74" i="1"/>
  <c r="F73" i="1"/>
  <c r="F72" i="1"/>
  <c r="F71" i="1"/>
  <c r="G56" i="1"/>
  <c r="G28" i="1"/>
  <c r="F27" i="1"/>
  <c r="E27" i="1"/>
  <c r="G21" i="1"/>
  <c r="F21" i="1"/>
  <c r="G12" i="1"/>
</calcChain>
</file>

<file path=xl/sharedStrings.xml><?xml version="1.0" encoding="utf-8"?>
<sst xmlns="http://schemas.openxmlformats.org/spreadsheetml/2006/main" count="8519" uniqueCount="291">
  <si>
    <t>35214</t>
  </si>
  <si>
    <t>TÍTULO</t>
  </si>
  <si>
    <t>NOMBRE CORTO</t>
  </si>
  <si>
    <t>DESCRIPCIÓN</t>
  </si>
  <si>
    <t>Informes presupuestales</t>
  </si>
  <si>
    <t>33_LTAIPRC_A121FXXXIII</t>
  </si>
  <si>
    <t>Informe de avances programáticos o presupuestales, balances generales y su estado financiero 33_LTAIPRC_Art_121_Fr_XXXIII</t>
  </si>
  <si>
    <t>1</t>
  </si>
  <si>
    <t>2</t>
  </si>
  <si>
    <t>6</t>
  </si>
  <si>
    <t>10</t>
  </si>
  <si>
    <t>7</t>
  </si>
  <si>
    <t>4</t>
  </si>
  <si>
    <t>12</t>
  </si>
  <si>
    <t>13</t>
  </si>
  <si>
    <t>14</t>
  </si>
  <si>
    <t>220598</t>
  </si>
  <si>
    <t>220601</t>
  </si>
  <si>
    <t>220599</t>
  </si>
  <si>
    <t>220603</t>
  </si>
  <si>
    <t>220609</t>
  </si>
  <si>
    <t>220610</t>
  </si>
  <si>
    <t>220611</t>
  </si>
  <si>
    <t>220600</t>
  </si>
  <si>
    <t>220602</t>
  </si>
  <si>
    <t>220612</t>
  </si>
  <si>
    <t>220607</t>
  </si>
  <si>
    <t>220608</t>
  </si>
  <si>
    <t>220616</t>
  </si>
  <si>
    <t>220604</t>
  </si>
  <si>
    <t>220613</t>
  </si>
  <si>
    <t>220614</t>
  </si>
  <si>
    <t>220615</t>
  </si>
  <si>
    <t>220606</t>
  </si>
  <si>
    <t>220605</t>
  </si>
  <si>
    <t>220617</t>
  </si>
  <si>
    <t>220618</t>
  </si>
  <si>
    <t>220619</t>
  </si>
  <si>
    <t>Tabla Campos</t>
  </si>
  <si>
    <t>Ejercicio</t>
  </si>
  <si>
    <t>Periodo que se reporta</t>
  </si>
  <si>
    <t>Clave del capítulo</t>
  </si>
  <si>
    <t>Denominación del capítulo</t>
  </si>
  <si>
    <t>Presupuesto asignado por capítulo</t>
  </si>
  <si>
    <t>Presupuesto modificado por capítulo</t>
  </si>
  <si>
    <t>Presupuesto ejercido por capítulo</t>
  </si>
  <si>
    <t>Clave del concepto</t>
  </si>
  <si>
    <t>Denominación del concepto</t>
  </si>
  <si>
    <t>Presupuesto asignado por concepto</t>
  </si>
  <si>
    <t>Presupuesto modificado por concepto</t>
  </si>
  <si>
    <t>Presupuesto ejercido por concepto</t>
  </si>
  <si>
    <t>Presupuesto por partida 
Tabla_220616</t>
  </si>
  <si>
    <t>Justificación de la modificación del presupuesto</t>
  </si>
  <si>
    <t>Hipervinculo al informe trimestral programático</t>
  </si>
  <si>
    <t xml:space="preserve">Hipervínculo a Balances generales </t>
  </si>
  <si>
    <t xml:space="preserve">Hipervínculo al Estado financiero </t>
  </si>
  <si>
    <t>Fecha de validación</t>
  </si>
  <si>
    <t>Área(s) responsable(s) de la información</t>
  </si>
  <si>
    <t>Año</t>
  </si>
  <si>
    <t>Fecha de actualización</t>
  </si>
  <si>
    <t>Nota</t>
  </si>
  <si>
    <t>25507</t>
  </si>
  <si>
    <t>25508</t>
  </si>
  <si>
    <t>25509</t>
  </si>
  <si>
    <t>25510</t>
  </si>
  <si>
    <t>25511</t>
  </si>
  <si>
    <t>ID</t>
  </si>
  <si>
    <t>Clave de la partida</t>
  </si>
  <si>
    <t>Denominación de la partida</t>
  </si>
  <si>
    <t>Presupuesto asignado por partida</t>
  </si>
  <si>
    <t>Presupuesto modificado por partida</t>
  </si>
  <si>
    <t>Presupuesto ejercido por partida</t>
  </si>
  <si>
    <t>Sueldos base al personal permanente</t>
  </si>
  <si>
    <t>Honorarios asmilables a salarios</t>
  </si>
  <si>
    <t>Primas por años de servicio activo</t>
  </si>
  <si>
    <t>Prima de vacaciones</t>
  </si>
  <si>
    <t>Gratificación de fin de año</t>
  </si>
  <si>
    <t>Horas extraordinarias</t>
  </si>
  <si>
    <t>Compensaciones por servicios eventuales</t>
  </si>
  <si>
    <t>Aportaciones a instituciones de seguridad social</t>
  </si>
  <si>
    <t>Aportaciones a fondos de vivienda</t>
  </si>
  <si>
    <t>Aportaciones al sistema para el retiro o a la administradora de</t>
  </si>
  <si>
    <t>fondos para el retiro y ahorro solidario</t>
  </si>
  <si>
    <t>Primas por seguro de retiro del personal al servicio de las unidades responsables del gasto del Distrito Federal</t>
  </si>
  <si>
    <t>Liquidaciones por indemnizaciones y por sueldos y salarios caídos</t>
  </si>
  <si>
    <t>Vales</t>
  </si>
  <si>
    <t>Apoyo económico por defunción de familiares directos</t>
  </si>
  <si>
    <t>Estancias de Desarrollo Infantil</t>
  </si>
  <si>
    <t>Asignaciones para prestaciones a personal sindicalizado y no sindicalicado</t>
  </si>
  <si>
    <t>Otras prestaciones contractuales</t>
  </si>
  <si>
    <t>Apoyos colectivos</t>
  </si>
  <si>
    <t>Asignaciones para requerimiento de cargos de servidores públicos superiores y de mandos medios así como de líderes coordinadores y enlaces</t>
  </si>
  <si>
    <t>Otras prestaciones sociales y económicas</t>
  </si>
  <si>
    <t>Materiales, útiles y equipos menores de oficina</t>
  </si>
  <si>
    <t>Materiales y útiles de impresión y reproducción</t>
  </si>
  <si>
    <t>Materiales, útiles y equipos menores de tecnologías de la información y comunicaciones</t>
  </si>
  <si>
    <t>Material impreso e información digital</t>
  </si>
  <si>
    <t>Material de limpieza</t>
  </si>
  <si>
    <t>Materiales y útiles de enseñanza</t>
  </si>
  <si>
    <t>Materiales para el registro e identificación de bienes y personas</t>
  </si>
  <si>
    <t>Productos alimenticios y bebidas para personas</t>
  </si>
  <si>
    <t>Utensilios para el servicio de alimentación</t>
  </si>
  <si>
    <t>Insumos textiles adquiridos como materia prima</t>
  </si>
  <si>
    <t>Productos de papel, cartón e impresos adquiridos como materia prima</t>
  </si>
  <si>
    <t>Combustibles, lubricantes, aditivos, carbón y sus derivados adquiridos como materia prima</t>
  </si>
  <si>
    <t>Otros productos adquiridos como materia prima</t>
  </si>
  <si>
    <t>Otros productos minerales no metálicos</t>
  </si>
  <si>
    <t>Cemento y productos de concreto</t>
  </si>
  <si>
    <t>Cal, yeso y productos de yeso</t>
  </si>
  <si>
    <t>Madera y productos de madera</t>
  </si>
  <si>
    <t>Vidrio y productos de vidrio</t>
  </si>
  <si>
    <t>Material electrico y electrónico</t>
  </si>
  <si>
    <t>Artículos metálicos para la construcción</t>
  </si>
  <si>
    <t>Materiales complementarios</t>
  </si>
  <si>
    <t>Otros materiales y artículos de construcción y reparación</t>
  </si>
  <si>
    <t>Productos químicos básicos</t>
  </si>
  <si>
    <t>Medicinas y productos farmacéuticos</t>
  </si>
  <si>
    <t>Materiales,accesorios y suministros médicos</t>
  </si>
  <si>
    <t>Materiales, accesorios y suministros de laboratorio</t>
  </si>
  <si>
    <t>Fibras sintéticas, hules, plásticos y derivados</t>
  </si>
  <si>
    <t>Otros productos químicos</t>
  </si>
  <si>
    <t>Combustibles, lubricantes y aditivos</t>
  </si>
  <si>
    <t>Vestuario y uniformes</t>
  </si>
  <si>
    <t>Prendas de seguridad y protección personal</t>
  </si>
  <si>
    <t>Artículos deportivos</t>
  </si>
  <si>
    <t>Productos textiles</t>
  </si>
  <si>
    <t>Blancos y otros productos textiles, excepto prendas de vestir</t>
  </si>
  <si>
    <t>Prendas de protección para seguridad pública y nacional</t>
  </si>
  <si>
    <t>Herramientas menores</t>
  </si>
  <si>
    <t>Refacciones y accesorios menores de edificios</t>
  </si>
  <si>
    <t>Refacciones y accesorios menores de mobiliario y equipo de adimistración, educacional y recreativo</t>
  </si>
  <si>
    <t>Refacciones y accesorios menores de equipo de cómputo y tecnologías de la información</t>
  </si>
  <si>
    <t>Refacciones y accesorios menores de equipo de transporte</t>
  </si>
  <si>
    <t>Refacciones y accesorios menores de otros bienes muebles</t>
  </si>
  <si>
    <t>Contratación e instalación de energía electrica</t>
  </si>
  <si>
    <t>Servicio de energía eléctrica</t>
  </si>
  <si>
    <t>Agua potable</t>
  </si>
  <si>
    <t>Telefonía tradicional</t>
  </si>
  <si>
    <t>Servicios de telecomunicaciones y satélites</t>
  </si>
  <si>
    <t>Servicios de acceso de Internet, redes y procesamiento de información</t>
  </si>
  <si>
    <t>Servicios postales y telegráficos</t>
  </si>
  <si>
    <t>Servicios integrales y otros servicios</t>
  </si>
  <si>
    <t>Arrendamiento de edificios</t>
  </si>
  <si>
    <t>Arrendamiento de mobiliario y equipo de administración, educacional y recreativo</t>
  </si>
  <si>
    <t>Arrendamiento de equipo de transporte para la ejecución de programas de seguridad pública y atención de desastres naturales</t>
  </si>
  <si>
    <t>Arrendamiento de activos intangibles</t>
  </si>
  <si>
    <t>Otros arrendamientos</t>
  </si>
  <si>
    <t>Servicios legales, de contabilidad, auditoría y relacionados</t>
  </si>
  <si>
    <t>Servicios de diseño, arquitectura, ingeniería y actividades relacionadas</t>
  </si>
  <si>
    <t>Servicios de consultoría administrativa, procesos, técnica y en Tecnologías de la información</t>
  </si>
  <si>
    <t>Servicios de capacitación</t>
  </si>
  <si>
    <t>Servicios de investigación científica y desarrollo</t>
  </si>
  <si>
    <t>Servicios de apoyo administrativo y fotocopiado</t>
  </si>
  <si>
    <t>Servicios de impresión</t>
  </si>
  <si>
    <t>Servicios de vigilancia</t>
  </si>
  <si>
    <t>Servicios profesionales, científicos, técnicos integrales y otros</t>
  </si>
  <si>
    <t>Servicios financieros y bancarios</t>
  </si>
  <si>
    <t>Seguro de bienes patrimoniales</t>
  </si>
  <si>
    <t>Almacenaje, envase y embalaje</t>
  </si>
  <si>
    <t>Fletes y maniobras</t>
  </si>
  <si>
    <t>Conservación y mantenimiento menor de inmuebles</t>
  </si>
  <si>
    <t>Instalación, reparación y mantenimiento de mobiliario y equipo de administración, educacional y recreativo</t>
  </si>
  <si>
    <t>Instalación, reparación y mantenimiento de equipo de cómputo y tecnologías de la información</t>
  </si>
  <si>
    <t>Instalación, reparación y mantenimiento de equipo e instrumental médico y de laboratorio</t>
  </si>
  <si>
    <t>Reparación, mantenimiento y conservación de equipo de transporte destinados a servidores públicos y servicios administrativos</t>
  </si>
  <si>
    <t>Reparación y mantenimientode equipo de defensa y seguridad</t>
  </si>
  <si>
    <t>Instalación, reparación y mantenimiento de maquinaria, otros equipos y herramienta</t>
  </si>
  <si>
    <t>Servicios de limpieza y manejo de deshechos</t>
  </si>
  <si>
    <t>Servicios de jardinería y fumigación</t>
  </si>
  <si>
    <t>Difusión por radio, televisión y otros medios de mensajes sobre programas y actividades gubernamentales</t>
  </si>
  <si>
    <t>Servicios de creatividad, preproducción y producción de publicidad, excepto internet</t>
  </si>
  <si>
    <t>Servicios de la industria fílmica, del sonido y del video</t>
  </si>
  <si>
    <t>Servicio de creación y difusión de contenido exclusivamente a través de internet</t>
  </si>
  <si>
    <t>Pasajes aéreos nacionales</t>
  </si>
  <si>
    <t>Pasajes aéreos internacionales</t>
  </si>
  <si>
    <t>Pasajes terrestres nacionales</t>
  </si>
  <si>
    <t>Pasajes terrestres al interior del Distrito Federal</t>
  </si>
  <si>
    <t>Traslado terrestre de personas</t>
  </si>
  <si>
    <t>Autotransporte</t>
  </si>
  <si>
    <t>Viáticos en el país</t>
  </si>
  <si>
    <t>Viáticos en el extranjero</t>
  </si>
  <si>
    <t>Servicios integrales de traslado y viáticos</t>
  </si>
  <si>
    <t>Otros servicios de traslado y hospedaje</t>
  </si>
  <si>
    <t>Gastos de difusión y extensión universitaria</t>
  </si>
  <si>
    <t>Congresos y convensiones</t>
  </si>
  <si>
    <t>Gastos de orden académico</t>
  </si>
  <si>
    <t>Impuestos y derechos</t>
  </si>
  <si>
    <t>Otros gastos por responsabilidades</t>
  </si>
  <si>
    <t>Impuesto sobre nóminas</t>
  </si>
  <si>
    <t>Asignaciones presupuestarias al Órgano Legislativo del Distrito Federal</t>
  </si>
  <si>
    <t>Premios</t>
  </si>
  <si>
    <t>Otras ayudas sociales a personas</t>
  </si>
  <si>
    <t>Becas y otras ayudas para programas de capacitación</t>
  </si>
  <si>
    <t>Ayudas sociales a actividades científicas o académicas</t>
  </si>
  <si>
    <t>Muebles de oficina y estantería</t>
  </si>
  <si>
    <t>Bienes artísticos, culturales y científicos</t>
  </si>
  <si>
    <t>Equipo de cómputo y de tecnologías de la información</t>
  </si>
  <si>
    <t>Otros mobiliarios y equipos de administración</t>
  </si>
  <si>
    <t>Equipos y aparatos audiovisuales</t>
  </si>
  <si>
    <t>Cámaras fotográficas y de video</t>
  </si>
  <si>
    <t>Otro mobiliario y equipo educacional y recreativo</t>
  </si>
  <si>
    <t>Equipo médico y de laboratorio</t>
  </si>
  <si>
    <t>Instrumental médico y de laboratorio</t>
  </si>
  <si>
    <t>Vehículos y equipo terrestre para la ejecución de programas de seguridad pública y atención de desastres naturales</t>
  </si>
  <si>
    <t>Maquinaria y equipo industrial</t>
  </si>
  <si>
    <t>Maquinaria y equipo de construcción</t>
  </si>
  <si>
    <t>Sistemas de aire acondicionado, calefacción y de refrigeración industrial y comercial</t>
  </si>
  <si>
    <t>Equipo de comunicación y telecomunicación</t>
  </si>
  <si>
    <t>Equipos de generación eléctrica, aparatos y accesorios eléctricos</t>
  </si>
  <si>
    <t>Herramientas y máquinas-herramienta</t>
  </si>
  <si>
    <t>Otros equipos</t>
  </si>
  <si>
    <t>Adquisición de terrenos</t>
  </si>
  <si>
    <t>Software</t>
  </si>
  <si>
    <t>Derechos</t>
  </si>
  <si>
    <t>Edificación no habitacional</t>
  </si>
  <si>
    <t>Instalaciones y equipamiento en construcciones</t>
  </si>
  <si>
    <t>Productos químicos, farmacéuticos y de laboratorio adquiridos como materia prima</t>
  </si>
  <si>
    <t>Refacciones y accesorios menores de equipo e instrumental médico y de laboratorio</t>
  </si>
  <si>
    <t>Refacciones y accesorios menores de equipo de defensa y seguridad</t>
  </si>
  <si>
    <t>Refacciones y accesorios menores de maquinaria y otros equipos</t>
  </si>
  <si>
    <t>Gas</t>
  </si>
  <si>
    <t>Arrendamiento de equipo de transporte destinado a servicios públicos y la operación de programas públicos</t>
  </si>
  <si>
    <t>Difusión por radio, televisión y otros medios de mensajes comerciales para promover la venta de bienes o servicios</t>
  </si>
  <si>
    <t>Asignaciones presupuestarias a Órganos Autónomos</t>
  </si>
  <si>
    <t>Muebles, excepto de oficina y ewstantería</t>
  </si>
  <si>
    <t>Vehículos y equipo terrestre destinados a servidores públicos y servicios administrativos</t>
  </si>
  <si>
    <t>Otros equipos de transporte</t>
  </si>
  <si>
    <t>Maquinaria y equipo agropecuario</t>
  </si>
  <si>
    <t>Fertilizantes, pesticidas y otros agroquímicos</t>
  </si>
  <si>
    <t>Reparación, mantenimiento y conservación de equipo de transporte para la ejecución de programas de seguridad pública y atención de desastres naturales</t>
  </si>
  <si>
    <t>Gastos de orden social</t>
  </si>
  <si>
    <t>Vehículos y equipo terrestre destinados a servicios públicos y la operación de programas públicos</t>
  </si>
  <si>
    <t>Equipo aeroespacial</t>
  </si>
  <si>
    <t>Equipo de defensa y seguridad</t>
  </si>
  <si>
    <t>Árboles y plantas</t>
  </si>
  <si>
    <t>División de terrenos y construcción de obras de urbanización</t>
  </si>
  <si>
    <t>De conformidad con el Acuerdo UACM/CU-4/EX-07/016/16, los ingresos que obtenga la Universidad serán integrados a un Fondo para continuar con la operación de la Universidad, para la compra de vales a los trabajadores sindicalizados de la Universidad.</t>
  </si>
  <si>
    <t>El Consejo Universitario aprobó en su Acuerdo UACM/CU-4/EX-07/016/16 de fecha 8 de abril de 2016, recursos adicionales para llevar a cabo la adquisición de materiales de administración, emisión de documentos y artículos oficiales, materiales y artículos de construcción y de reparación, productos químicos básicos, y herramientas y refacciones accesorios menores.</t>
  </si>
  <si>
    <t>El Consejo Universitario aprobó en su Acuerdo UACM/CU-4/EX-07/016/16 de fecha 8 de abril de 2016, recursos adicionales para llevar a cabo servicios legales, de contabilidad, auditoría y relacionados; de servicios profesionales científicos y técnicos integrales, para almacenaje, envase y embalaje. Asímismo, recursos para instalación, reparación  y mantenimiento de equipo instrumental y equipo de laboratorio. De igual manera se incorporaron los recursos correspondientes a requisiciones bianuales 2015 - 2016 relacionados con los servicios de diseño, arquitectura, ingeniería y actividades relacionadas, para trabajos en el Plantel San Lorenzo Tezonco, sevicios de consultoría para el mantenimiento del sistema integral administrativo, para el mantenimiento al equipo informático y para el mantenimiento de equipo de laboratorio para los colegios.</t>
  </si>
  <si>
    <t>De conformidad con el Acuerdo UACM/CU-4/EX-07/016/16, el Consejo Universitario aprobó recursos adicionales para complementar el pago de becas a estudiantes de la Universidad.</t>
  </si>
  <si>
    <t>De conformidad con el Acuerdo UACM/CU-4/EX-07/016/16, el Consejo Universitario aprobó recursos adicionales para complementar la operación de las áreas de la Universidad, principalmente para la adquisición de mobiliario, equipo de cómputo, equipo audiovisual y fotográfico, mobiliario educacional, de laboratorio y médico. Por otra parte se incorporaron los recursos asignados para la adquisición de dos terrenos, productos de recursos federales y fiscales 2015 considerados para la adquisición del edificio de Rectoría y de la sede administrativa y para el plantel Centro Histórico.</t>
  </si>
  <si>
    <t>De conformidad con el Acuerdo UACM/CU-4/EX07/016/16, el Consejo Universitario aprobó dar continuidad a los compromisos establecidos para el ejercicio 2016 relacionados con 1 obra incluida en el Fondo de Obras e infraestructura correspondiente a recursos federales consistentes en la construcción de biblioteca,plaza de acceso, áreas deportivas/recreativas y obras accesorias, así como la conclusión de edificio de aulas y cubículos en plantel San Lorenzo Tezonco, y 11 obras incluidas dentro del programa de obras de esta Universidad del ejercicio fiscal 2015, mismas que cuentan con la aprobación bianual correspondiente.</t>
  </si>
  <si>
    <t>El Consejo Universitario aprobó en su Acuerdo UACM/CU-4/EX-07/016/16 de fecha 8 de abril de 2016, recursos adicionales para llevar a cabo servicios legales, de contabilidad, auditoría y relacionados; de servicios profesionales científicos y técnicos integrales, para almacenaje, envase y embalaje. Asímismo, recursos para instalación, reparación  y mantenimiento de equipo instrumental y equipo de laboratorio. De igual manera se incorporaron los recursos correspondientes a requisiciones bianuales 2015 - 2016 relacionados con los servicios de supervisión de obras y las obras para el servicio de diseño, arquitectura, ingeniería y actividades relacionadas, para trabajos en el Plantel San Lorenzo Tezonco, sevicios de consultoría para el mantenimiento del sistema integral administrativo, para el mantenimiento al equipo informático y para el mantenimiento de equipo de laboratorio para los colegios. En el mes de diciembre de 2016 el gobierno de la Ciudad de México aprobó un incremento al presupuesto de la Universidad, lo que será utilizado  para fortalecer la infraestructura de los planteles.</t>
  </si>
  <si>
    <t>De conformidad con el Acuerdo UACM/CU-4/EX-07/016/16, el Consejo Universitario aprobó recursos adicionales para complementar la operación de las áreas de la Universidad, principalmente para la adquisición de mobiliario, equipo de cómputo, equipo audiovisual y fotográfico, mobiliario educacional, de laboratorio y médico. Por otra parte se incorporaron los recursos asignados para la adquisición de dos terrenos, productos de recursos federales y fiscales 2015 considerados para la adquisición del edificio de Rectoría y de la sede administrativa y para el plantel Centro Histórico. En el mes de diciembre de 2016 el gobierno de la Ciudad de México aprobó un incremento al presupuesto de la Universidad lo que será utilizado para fortalecer la infraestructura de los planteles.</t>
  </si>
  <si>
    <t>De conformidad con el Acuerdo UACM/CU-4/EX07/016/16, el Consejo Universitario aprobó dar continuidad a los compromisos establecidos para el ejercicio 2015-2016 relacionados con 1 obra incluida en el Fondo de Obras e infraestructura correspondiente a recursos federales consistentes en la construcción de biblioteca,plaza de acceso, áreas deportivas/recreativas y obras accesorias, así como la conclusión de edificio de aulas y cubículos en plantel San Lorenzo Tezonco, y 11 obras incluidas dentro del programa de obras de esta Universidad del ejercicio fiscal 2015, mismas que cuentan con la aprobación bianual correspondiente. En el mes de diciembre de 2016 el gobierno de la Ciudad de México aprobó un incremento al presupuesto de la Universidad lo que será utilizado para fortalecer la infraestructura de los planteles</t>
  </si>
  <si>
    <t>https://uacm.edu.mx/organizacion/tesoreria</t>
  </si>
  <si>
    <t>Tesoreria</t>
  </si>
  <si>
    <t>Conforme al gasto de presupuestal de la Universidad Autonoma de la Ciudad de México</t>
  </si>
  <si>
    <t>Corresponden a ingresos por sanciones a proveedores, recuperación de gasto de alimentos en los comedores universitarios, los cuales serán integrados a los fondos en el siguiente ejercicio.</t>
  </si>
  <si>
    <t>Servicios para la promoción deportiva</t>
  </si>
  <si>
    <t>Otros servicios generales</t>
  </si>
  <si>
    <t>Corresponden a ingresos obtenidos por los rendimientos financieros, los cuales serán integrados a los fondos en el siguiente ejercicio.</t>
  </si>
  <si>
    <t>Otras erogaciones especiales</t>
  </si>
  <si>
    <t>La variación que se presente, se debe a una afectación para reducir la partida de sueldos con la finalidad de adecuar el gasto del impuesto sobre nómina</t>
  </si>
  <si>
    <t>Otras aportaciones para seguros</t>
  </si>
  <si>
    <t>Estancias de desarrollo infantil</t>
  </si>
  <si>
    <t>La variación que se presente, se debe a una afectación para adquirir estructuras y ampliar el archivo de documentos para la adquisición de UPS y para la adquisición de tóners de impresión en el área de Tesorería</t>
  </si>
  <si>
    <t>Productos de cuero, piel, plástico y hule adquiridos como materia prima</t>
  </si>
  <si>
    <t>Refacciones y accesorios menores de mobiliario y equipo de administración, educacional y recreativo</t>
  </si>
  <si>
    <t>La variación que se presenta, se debe a una afectación para la contratación de servicios profesionales para el registro contable y financiero de 2014 a 2016</t>
  </si>
  <si>
    <t>Otros servicios financieros, bancarios y comerciales integrales</t>
  </si>
  <si>
    <t>Servicios de revelado de fotografías</t>
  </si>
  <si>
    <t>Otros servicios de información</t>
  </si>
  <si>
    <t>Espectáculos culturales</t>
  </si>
  <si>
    <t>Corresponden a recursos obtenidos por los rendimientos financieros, los cuales serán integrados a los fondos en el siguiente ejercicio</t>
  </si>
  <si>
    <t>La variación que se presenta, se debe a una reducción para dar prioridad a eventos y requerimientos de las áreas, tales como a conversión de archivos PDF de la Revista Andamios a Archivos XML, empleando la metodología del nuevo modelo de publicación electrónica y eventos próximos a inaugurar</t>
  </si>
  <si>
    <t>Carrocerías y remolques destinado a servidores públicos y servicios administrativos</t>
  </si>
  <si>
    <t>Corresponden a recursos por sanciones a proveedores, recuperación de gasto de alimentos en los Comedores Universitarios, los cuales serán integrados a los fondos en el siguiente ejercicio</t>
  </si>
  <si>
    <t>La variación que se presente, se debe a recursos que se ampliaron en este capitulo para la compra de cartuchos para impresión, para impresoras donadas a la Universidad, para la compra de no break con la finalidad de proteger los equipo de computo, persianas y estructuras para el archivo del área de la Tesorería, para la compra de diésel para la planta de emergencia del Plantel San Lorenzo Tezonco, para la compra de memorias SD para las cámaras del área de Comunicación, material de limpieza para el Posgrado de Genómicas, medicamentos y material de curación para los consultorios de los planteles y del edificio administrativo, dispositivos USB de memoria para los consejeros universitarios, papelería para el área de bibliotecas, para la compra de tóner y software especializado utilizado en la Coordinación Académica, para equipamiento del laboratorio de Medios Audiovisuales a servicios de la comunidad estudiantil, para la compra de luminarias para el plantel Cuautepec y equipo para el laboratorio de docencias.</t>
  </si>
  <si>
    <t>La variación que se presente, se debe a una reducción derivado principalmente a que las áreas de la Universidad I han reprogramado sus recursos, para la adquisición de materiales y suministros</t>
  </si>
  <si>
    <t>Telefonía celular</t>
  </si>
  <si>
    <t>Corresponden a recursos obtenidos por los en el siguiente ejercicio</t>
  </si>
  <si>
    <t>La variación que se presente, se debe a una ampliación en este capitulo para la compra de insumos de los laboratorios del Colegio de Ciencias y Humanidades, para equipo medico para los consultorios del los planteles y edificios administrativos, equipo para el laboratorio del plantel Cuautepec, para equipamiento del Laboratorio de Medios Audiovisuales, equipo de seguridad en los planteles, para renovar espacios académicos, equipo de video y unidades de almacenamiento y para el área de Comunicación, para equipo de videoconferencia para el plantel Del Valle</t>
  </si>
  <si>
    <t>Muebles, excepto de oficina y estantería</t>
  </si>
  <si>
    <t>Herramientas y máquinas-herramientas</t>
  </si>
  <si>
    <t>La variación que se presente, se debe a una ampliación en este capitulo para la realización de diferentes trabajos para el plantel Magdalena Contreras, para a realización de la obra perimetral en el Plantel de la Milpa Alta y para realizar trabajos de obra encaminados al proyecto académico en Milpa Alta.</t>
  </si>
  <si>
    <t>La variación que se presenta se debe a una ampliación de recursos asignados a la Universidad Autónoma de la Ciudad de México en el Presupuesto de Egresos de la Federación para el ejercicio fiscal de 2017, los cuales fueron mediante Convenio de Apoyo Financiero, celebrado por la Secretaría de Educación Pública, el Gobierno de la Ciudad de México y la Universidad Autónoma de la Ciudad de México, con la finalidad de dar continuidad al programa "Proporcionar educación superior crítica y de al to nivel.</t>
  </si>
  <si>
    <t>La variación que se presenta, se debe  a recursos que se ampliaron en este capítulo para la compra de cartuchos para impresión, para impresoras donadas a la universidad, para la compra de no break con la finalidad de proteger los equipos de cómputo, persianas y estructuras para el archivo del área de la Tesorería, para la compra de diesel para la planta de emergencia del plantel San Lorenzo Tezonco, para la compra de memorias SD para las cámaras del área de Comunicación, material de limpieza para el Posgrado de Genómicas, medicamentos y material de curación para los consultorios de los planteles y del edificio administrativo, dispositivos USB de memoria para los consejeros universitarios, papelería para el área de bibliotecas, para la compra de tóner y software especializado utilizado en la Coordinación Académica, para equipamiento del laboratorio de medios audiovisuales a servicios de la comunidad estudiantil, para la compra de luminarias para el plantel Cuautepec y equipo para el laboratorio de docencias.</t>
  </si>
  <si>
    <t>Productos alimenticios para animales</t>
  </si>
  <si>
    <t>La variación que se presenta, se debe a una reducción derivado principalmente  a que las áreas de la universidad han reprogramado sus recursos, para la adquisición de materiales y suministros.</t>
  </si>
  <si>
    <t>Arrendamiento de equipo de transporte destinado a servicios públicos y operación de programas</t>
  </si>
  <si>
    <t>Arrendamiento de equipo de transporte destinado a servidores públicos y servicios administrativos</t>
  </si>
  <si>
    <t>Otras ayudas sociales a otras personas</t>
  </si>
  <si>
    <t>Corresponden a recursos obtenidos por los rendimientos financieros, los cuales serán integrados a los fondos en el siguiente ejercicio.</t>
  </si>
  <si>
    <t>La variación que se presenta, se debe  a una ampliación en este capítulo para la compra de insumos de los laboratorios del Colegio de Ciencias y Humanidades , para equipo médico para los consultorios de los planteles y edifico administrativo, equipo para el laboratorio del plantel Cuautepec, para equipamiento del laboratorio de medios audiovisuales, equipo de seguridad en los planteles, para renovar espacios académicos, equipo de video y unidades de almacenamiento y para el área de comunicación, para equipo de videoconferencias para el plantel Del Valle.</t>
  </si>
  <si>
    <t>Instrumental médico y de ñaboratorio</t>
  </si>
  <si>
    <t>Carrocerías y remolques destinados a servicios públicos y la operación de programas públicos</t>
  </si>
  <si>
    <t>Maquinaria equipo agrapecuario</t>
  </si>
  <si>
    <t>Adquisición de edificios no residenciales</t>
  </si>
  <si>
    <t>La variación que se presenta, se debe a una ampliación en este capítulo para la realización de diferentes trabajos para el plantel Magdalena Contreras, para la realización de la obra perimetral en el plantel Milpa Alta y para realizar trabajos de obra encaminados al proyecto académico en Milpa Alta</t>
  </si>
  <si>
    <t>La variación que se presenta se debe primordialmente a que en el ejercicio de 2017 el presupuesto fue aprobado por el CU hasta el mes de junio, los recursos federales aprobados en el Presupuesto de Egresos de la Federación estaban destinados para la adquisición de bienes de contratación de servicios, sin embargo, debido a que éstos se recibieron hasta los meses de noviembre y diciembre, fue necesario readecuar los compromisos, motivo por el cual ya no fue posible llevar a cabo el total de los procesos de licitación correspondientes.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</si>
</sst>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_(* #,##0.00_);_(* \(#,##0.00\);_(* &quot;-&quot;??_);_(@_)"/>
    <numFmt numFmtId="165" formatCode="0;[Red]0"/>
  </numFmts>
  <fonts count="10"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2"/>
      <color indexed="8"/>
      <name val="Arial"/>
      <family val="2"/>
    </font>
    <font>
      <sz val="12"/>
      <color theme="1"/>
      <name val="Arial"/>
      <family val="2"/>
    </font>
    <font>
      <sz val="12"/>
      <name val="Arial"/>
      <family val="2"/>
    </font>
    <font>
      <u/>
      <sz val="11"/>
      <color theme="10"/>
      <name val="Calibri"/>
      <family val="2"/>
      <scheme val="minor"/>
    </font>
    <font>
      <sz val="11"/>
      <color theme="1"/>
      <name val="Arial"/>
      <family val="2"/>
    </font>
    <font>
      <sz val="11"/>
      <color indexed="8"/>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7" fillId="0" borderId="0" applyNumberFormat="0" applyFill="0" applyBorder="0" applyAlignment="0" applyProtection="0"/>
  </cellStyleXfs>
  <cellXfs count="4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1" xfId="0" applyFont="1" applyBorder="1" applyAlignment="1">
      <alignment horizontal="center" vertical="top"/>
    </xf>
    <xf numFmtId="14" fontId="4" fillId="0" borderId="1" xfId="0" applyNumberFormat="1" applyFont="1" applyBorder="1" applyAlignment="1">
      <alignment horizontal="center" vertical="top"/>
    </xf>
    <xf numFmtId="0" fontId="4" fillId="0" borderId="1" xfId="0" applyFont="1" applyBorder="1" applyAlignment="1">
      <alignment vertical="top" wrapText="1"/>
    </xf>
    <xf numFmtId="39" fontId="5" fillId="0" borderId="1" xfId="0" applyNumberFormat="1" applyFont="1" applyBorder="1" applyAlignment="1">
      <alignment horizontal="right" vertical="top" wrapText="1"/>
    </xf>
    <xf numFmtId="0" fontId="5" fillId="0" borderId="1" xfId="0" applyFont="1" applyBorder="1" applyAlignment="1">
      <alignment vertical="top" wrapText="1"/>
    </xf>
    <xf numFmtId="0" fontId="5" fillId="5" borderId="1" xfId="0" applyFont="1" applyFill="1" applyBorder="1" applyAlignment="1">
      <alignment vertical="top" wrapText="1"/>
    </xf>
    <xf numFmtId="0" fontId="5" fillId="5" borderId="1" xfId="0" applyFont="1" applyFill="1" applyBorder="1" applyAlignment="1">
      <alignment vertical="top"/>
    </xf>
    <xf numFmtId="0" fontId="5" fillId="3" borderId="1" xfId="0" applyFont="1" applyFill="1" applyBorder="1" applyAlignment="1">
      <alignment vertical="top"/>
    </xf>
    <xf numFmtId="164" fontId="6" fillId="0" borderId="1" xfId="1" applyNumberFormat="1" applyFont="1" applyBorder="1" applyAlignment="1">
      <alignment horizontal="right" vertical="top"/>
    </xf>
    <xf numFmtId="0" fontId="5" fillId="3" borderId="1" xfId="0" applyFont="1" applyFill="1" applyBorder="1" applyAlignment="1">
      <alignment vertical="top" wrapText="1"/>
    </xf>
    <xf numFmtId="39" fontId="5" fillId="0" borderId="1" xfId="0" applyNumberFormat="1" applyFont="1" applyBorder="1" applyAlignment="1">
      <alignment horizontal="right" vertical="top"/>
    </xf>
    <xf numFmtId="39" fontId="4" fillId="0" borderId="1" xfId="0" applyNumberFormat="1" applyFont="1" applyBorder="1" applyAlignment="1">
      <alignment horizontal="right" vertical="top"/>
    </xf>
    <xf numFmtId="4" fontId="4" fillId="0" borderId="1" xfId="0" applyNumberFormat="1" applyFont="1" applyBorder="1" applyAlignment="1">
      <alignment horizontal="right" vertical="top"/>
    </xf>
    <xf numFmtId="0" fontId="5" fillId="0" borderId="1" xfId="0" applyFont="1" applyBorder="1" applyAlignment="1">
      <alignment horizontal="center" vertical="top" wrapText="1"/>
    </xf>
    <xf numFmtId="0" fontId="5" fillId="3" borderId="1" xfId="0" applyFont="1" applyFill="1" applyBorder="1" applyAlignment="1">
      <alignment horizontal="center" vertical="top" wrapText="1"/>
    </xf>
    <xf numFmtId="0" fontId="5" fillId="0" borderId="1" xfId="0" applyFont="1" applyBorder="1" applyAlignment="1">
      <alignment horizontal="center" vertical="top"/>
    </xf>
    <xf numFmtId="165" fontId="9" fillId="0" borderId="1" xfId="0" applyNumberFormat="1" applyFont="1" applyBorder="1"/>
    <xf numFmtId="0" fontId="7" fillId="0" borderId="1" xfId="2" applyBorder="1" applyAlignment="1">
      <alignment wrapText="1"/>
    </xf>
    <xf numFmtId="14" fontId="0" fillId="0" borderId="1" xfId="0" applyNumberFormat="1" applyBorder="1"/>
    <xf numFmtId="0" fontId="0" fillId="0" borderId="1" xfId="0" applyBorder="1"/>
    <xf numFmtId="165" fontId="8" fillId="3" borderId="1" xfId="0" applyNumberFormat="1" applyFont="1" applyFill="1" applyBorder="1" applyAlignment="1">
      <alignment horizontal="right" vertical="top" wrapText="1"/>
    </xf>
    <xf numFmtId="0" fontId="4" fillId="5" borderId="1" xfId="0" applyFont="1" applyFill="1" applyBorder="1" applyAlignment="1">
      <alignment horizontal="center" vertical="top" wrapText="1"/>
    </xf>
    <xf numFmtId="14" fontId="4" fillId="5" borderId="1" xfId="0" applyNumberFormat="1" applyFont="1" applyFill="1" applyBorder="1" applyAlignment="1">
      <alignment horizontal="center" vertical="top" wrapText="1"/>
    </xf>
    <xf numFmtId="39" fontId="5" fillId="5" borderId="1" xfId="0" applyNumberFormat="1" applyFont="1" applyFill="1" applyBorder="1" applyAlignment="1">
      <alignment horizontal="right" vertical="top" wrapText="1"/>
    </xf>
    <xf numFmtId="39" fontId="4" fillId="5" borderId="1" xfId="0" applyNumberFormat="1" applyFont="1" applyFill="1" applyBorder="1" applyAlignment="1">
      <alignment horizontal="right" vertical="top" wrapText="1"/>
    </xf>
    <xf numFmtId="165" fontId="0" fillId="5" borderId="1" xfId="0" applyNumberFormat="1" applyFill="1" applyBorder="1" applyAlignment="1">
      <alignment wrapText="1"/>
    </xf>
    <xf numFmtId="0" fontId="7" fillId="5" borderId="1" xfId="2" applyFill="1" applyBorder="1" applyAlignment="1">
      <alignment wrapText="1"/>
    </xf>
    <xf numFmtId="14" fontId="0" fillId="5" borderId="1" xfId="0" applyNumberFormat="1" applyFill="1" applyBorder="1" applyAlignment="1">
      <alignment wrapText="1"/>
    </xf>
    <xf numFmtId="0" fontId="0" fillId="5" borderId="1" xfId="0" applyFill="1" applyBorder="1" applyAlignment="1">
      <alignment wrapText="1"/>
    </xf>
    <xf numFmtId="0" fontId="0" fillId="0" borderId="1" xfId="0" applyBorder="1" applyAlignment="1">
      <alignment wrapText="1"/>
    </xf>
    <xf numFmtId="14" fontId="4" fillId="5" borderId="1" xfId="0" applyNumberFormat="1" applyFont="1" applyFill="1" applyBorder="1" applyAlignment="1">
      <alignment horizontal="center" wrapText="1"/>
    </xf>
    <xf numFmtId="0" fontId="4" fillId="0" borderId="1" xfId="0" applyFont="1" applyBorder="1" applyAlignment="1">
      <alignment horizontal="center" vertical="top" wrapText="1"/>
    </xf>
    <xf numFmtId="14" fontId="4" fillId="0" borderId="1" xfId="0" applyNumberFormat="1" applyFont="1" applyBorder="1" applyAlignment="1">
      <alignment horizontal="center" vertical="top" wrapText="1"/>
    </xf>
    <xf numFmtId="39" fontId="4" fillId="0" borderId="1" xfId="0" applyNumberFormat="1" applyFont="1" applyBorder="1" applyAlignment="1">
      <alignment horizontal="right" vertical="top" wrapText="1"/>
    </xf>
    <xf numFmtId="165" fontId="5" fillId="3" borderId="1" xfId="0" applyNumberFormat="1" applyFont="1" applyFill="1" applyBorder="1" applyAlignment="1">
      <alignment horizontal="right" vertical="top" wrapText="1"/>
    </xf>
    <xf numFmtId="43" fontId="4" fillId="0" borderId="1" xfId="0" applyNumberFormat="1" applyFont="1" applyBorder="1" applyAlignment="1">
      <alignment horizontal="right" vertical="top" wrapText="1"/>
    </xf>
    <xf numFmtId="14" fontId="0" fillId="0" borderId="1" xfId="0" applyNumberFormat="1" applyBorder="1" applyAlignment="1">
      <alignment wrapText="1"/>
    </xf>
    <xf numFmtId="14" fontId="4" fillId="0" borderId="1" xfId="0" applyNumberFormat="1" applyFont="1" applyBorder="1" applyAlignment="1">
      <alignment horizontal="center" wrapText="1"/>
    </xf>
    <xf numFmtId="164" fontId="5" fillId="0" borderId="1" xfId="0" applyNumberFormat="1" applyFont="1" applyBorder="1" applyAlignment="1">
      <alignment horizontal="right" vertical="top" wrapText="1"/>
    </xf>
    <xf numFmtId="39" fontId="4" fillId="3" borderId="1" xfId="0" applyNumberFormat="1" applyFont="1" applyFill="1" applyBorder="1" applyAlignment="1">
      <alignment horizontal="righ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522" Type="http://schemas.openxmlformats.org/officeDocument/2006/relationships/hyperlink" Target="https://uacm.edu.mx/organizacion/tesoreria" TargetMode="External"/><Relationship Id="rId21" Type="http://schemas.openxmlformats.org/officeDocument/2006/relationships/hyperlink" Target="https://uacm.edu.mx/organizacion/tesoreria" TargetMode="External"/><Relationship Id="rId170" Type="http://schemas.openxmlformats.org/officeDocument/2006/relationships/hyperlink" Target="https://uacm.edu.mx/organizacion/tesoreria" TargetMode="External"/><Relationship Id="rId268" Type="http://schemas.openxmlformats.org/officeDocument/2006/relationships/hyperlink" Target="https://uacm.edu.mx/organizacion/tesoreria" TargetMode="External"/><Relationship Id="rId475" Type="http://schemas.openxmlformats.org/officeDocument/2006/relationships/hyperlink" Target="https://uacm.edu.mx/organizacion/tesoreria" TargetMode="External"/><Relationship Id="rId682" Type="http://schemas.openxmlformats.org/officeDocument/2006/relationships/hyperlink" Target="https://uacm.edu.mx/organizacion/tesoreria" TargetMode="External"/><Relationship Id="rId128" Type="http://schemas.openxmlformats.org/officeDocument/2006/relationships/hyperlink" Target="https://uacm.edu.mx/organizacion/tesoreria" TargetMode="External"/><Relationship Id="rId335" Type="http://schemas.openxmlformats.org/officeDocument/2006/relationships/hyperlink" Target="https://uacm.edu.mx/organizacion/tesoreria" TargetMode="External"/><Relationship Id="rId542" Type="http://schemas.openxmlformats.org/officeDocument/2006/relationships/hyperlink" Target="https://uacm.edu.mx/organizacion/tesoreria" TargetMode="External"/><Relationship Id="rId987" Type="http://schemas.openxmlformats.org/officeDocument/2006/relationships/hyperlink" Target="https://uacm.edu.mx/organizacion/tesoreria" TargetMode="External"/><Relationship Id="rId1172" Type="http://schemas.openxmlformats.org/officeDocument/2006/relationships/hyperlink" Target="https://uacm.edu.mx/organizacion/tesoreria" TargetMode="External"/><Relationship Id="rId402" Type="http://schemas.openxmlformats.org/officeDocument/2006/relationships/hyperlink" Target="https://uacm.edu.mx/organizacion/tesoreria" TargetMode="External"/><Relationship Id="rId847" Type="http://schemas.openxmlformats.org/officeDocument/2006/relationships/hyperlink" Target="https://uacm.edu.mx/organizacion/tesoreria" TargetMode="External"/><Relationship Id="rId1032" Type="http://schemas.openxmlformats.org/officeDocument/2006/relationships/hyperlink" Target="https://uacm.edu.mx/organizacion/tesoreria" TargetMode="External"/><Relationship Id="rId1477" Type="http://schemas.openxmlformats.org/officeDocument/2006/relationships/hyperlink" Target="https://uacm.edu.mx/organizacion/tesoreria" TargetMode="External"/><Relationship Id="rId707" Type="http://schemas.openxmlformats.org/officeDocument/2006/relationships/hyperlink" Target="https://uacm.edu.mx/organizacion/tesoreria" TargetMode="External"/><Relationship Id="rId914" Type="http://schemas.openxmlformats.org/officeDocument/2006/relationships/hyperlink" Target="https://uacm.edu.mx/organizacion/tesoreria" TargetMode="External"/><Relationship Id="rId1337" Type="http://schemas.openxmlformats.org/officeDocument/2006/relationships/hyperlink" Target="https://uacm.edu.mx/organizacion/tesoreria" TargetMode="External"/><Relationship Id="rId1544" Type="http://schemas.openxmlformats.org/officeDocument/2006/relationships/hyperlink" Target="https://uacm.edu.mx/organizacion/tesoreria" TargetMode="External"/><Relationship Id="rId43" Type="http://schemas.openxmlformats.org/officeDocument/2006/relationships/hyperlink" Target="https://uacm.edu.mx/organizacion/tesoreria" TargetMode="External"/><Relationship Id="rId1404" Type="http://schemas.openxmlformats.org/officeDocument/2006/relationships/hyperlink" Target="https://uacm.edu.mx/organizacion/tesoreria" TargetMode="External"/><Relationship Id="rId192" Type="http://schemas.openxmlformats.org/officeDocument/2006/relationships/hyperlink" Target="https://uacm.edu.mx/organizacion/tesoreria" TargetMode="External"/><Relationship Id="rId497" Type="http://schemas.openxmlformats.org/officeDocument/2006/relationships/hyperlink" Target="https://uacm.edu.mx/organizacion/tesoreria" TargetMode="External"/><Relationship Id="rId357" Type="http://schemas.openxmlformats.org/officeDocument/2006/relationships/hyperlink" Target="https://uacm.edu.mx/organizacion/tesoreria" TargetMode="External"/><Relationship Id="rId1194" Type="http://schemas.openxmlformats.org/officeDocument/2006/relationships/hyperlink" Target="https://uacm.edu.mx/organizacion/tesoreria" TargetMode="External"/><Relationship Id="rId217" Type="http://schemas.openxmlformats.org/officeDocument/2006/relationships/hyperlink" Target="https://uacm.edu.mx/organizacion/tesoreria" TargetMode="External"/><Relationship Id="rId564" Type="http://schemas.openxmlformats.org/officeDocument/2006/relationships/hyperlink" Target="https://uacm.edu.mx/organizacion/tesoreria" TargetMode="External"/><Relationship Id="rId771" Type="http://schemas.openxmlformats.org/officeDocument/2006/relationships/hyperlink" Target="https://uacm.edu.mx/organizacion/tesoreria" TargetMode="External"/><Relationship Id="rId869" Type="http://schemas.openxmlformats.org/officeDocument/2006/relationships/hyperlink" Target="https://uacm.edu.mx/organizacion/tesoreria" TargetMode="External"/><Relationship Id="rId1499" Type="http://schemas.openxmlformats.org/officeDocument/2006/relationships/hyperlink" Target="https://uacm.edu.mx/organizacion/tesoreria" TargetMode="External"/><Relationship Id="rId424" Type="http://schemas.openxmlformats.org/officeDocument/2006/relationships/hyperlink" Target="https://uacm.edu.mx/organizacion/tesoreria" TargetMode="External"/><Relationship Id="rId631" Type="http://schemas.openxmlformats.org/officeDocument/2006/relationships/hyperlink" Target="https://uacm.edu.mx/organizacion/tesoreria" TargetMode="External"/><Relationship Id="rId729" Type="http://schemas.openxmlformats.org/officeDocument/2006/relationships/hyperlink" Target="https://uacm.edu.mx/organizacion/tesoreria" TargetMode="External"/><Relationship Id="rId1054" Type="http://schemas.openxmlformats.org/officeDocument/2006/relationships/hyperlink" Target="https://uacm.edu.mx/organizacion/tesoreria" TargetMode="External"/><Relationship Id="rId1261" Type="http://schemas.openxmlformats.org/officeDocument/2006/relationships/hyperlink" Target="https://uacm.edu.mx/organizacion/tesoreria" TargetMode="External"/><Relationship Id="rId1359" Type="http://schemas.openxmlformats.org/officeDocument/2006/relationships/hyperlink" Target="https://uacm.edu.mx/organizacion/tesoreria" TargetMode="External"/><Relationship Id="rId936" Type="http://schemas.openxmlformats.org/officeDocument/2006/relationships/hyperlink" Target="https://uacm.edu.mx/organizacion/tesoreria" TargetMode="External"/><Relationship Id="rId1121" Type="http://schemas.openxmlformats.org/officeDocument/2006/relationships/hyperlink" Target="https://uacm.edu.mx/organizacion/tesoreria" TargetMode="External"/><Relationship Id="rId1219" Type="http://schemas.openxmlformats.org/officeDocument/2006/relationships/hyperlink" Target="https://uacm.edu.mx/organizacion/tesoreria" TargetMode="External"/><Relationship Id="rId65" Type="http://schemas.openxmlformats.org/officeDocument/2006/relationships/hyperlink" Target="https://uacm.edu.mx/organizacion/tesoreria" TargetMode="External"/><Relationship Id="rId1426" Type="http://schemas.openxmlformats.org/officeDocument/2006/relationships/hyperlink" Target="https://uacm.edu.mx/organizacion/tesoreria" TargetMode="External"/><Relationship Id="rId281" Type="http://schemas.openxmlformats.org/officeDocument/2006/relationships/hyperlink" Target="https://uacm.edu.mx/organizacion/tesoreria" TargetMode="External"/><Relationship Id="rId141" Type="http://schemas.openxmlformats.org/officeDocument/2006/relationships/hyperlink" Target="https://uacm.edu.mx/organizacion/tesoreria" TargetMode="External"/><Relationship Id="rId379" Type="http://schemas.openxmlformats.org/officeDocument/2006/relationships/hyperlink" Target="https://uacm.edu.mx/organizacion/tesoreria" TargetMode="External"/><Relationship Id="rId586" Type="http://schemas.openxmlformats.org/officeDocument/2006/relationships/hyperlink" Target="https://uacm.edu.mx/organizacion/tesoreria" TargetMode="External"/><Relationship Id="rId793" Type="http://schemas.openxmlformats.org/officeDocument/2006/relationships/hyperlink" Target="https://uacm.edu.mx/organizacion/tesoreria" TargetMode="External"/><Relationship Id="rId7" Type="http://schemas.openxmlformats.org/officeDocument/2006/relationships/hyperlink" Target="https://uacm.edu.mx/organizacion/tesoreria" TargetMode="External"/><Relationship Id="rId239" Type="http://schemas.openxmlformats.org/officeDocument/2006/relationships/hyperlink" Target="https://uacm.edu.mx/organizacion/tesoreria" TargetMode="External"/><Relationship Id="rId446" Type="http://schemas.openxmlformats.org/officeDocument/2006/relationships/hyperlink" Target="https://uacm.edu.mx/organizacion/tesoreria" TargetMode="External"/><Relationship Id="rId653" Type="http://schemas.openxmlformats.org/officeDocument/2006/relationships/hyperlink" Target="https://uacm.edu.mx/organizacion/tesoreria" TargetMode="External"/><Relationship Id="rId1076" Type="http://schemas.openxmlformats.org/officeDocument/2006/relationships/hyperlink" Target="https://uacm.edu.mx/organizacion/tesoreria" TargetMode="External"/><Relationship Id="rId1283" Type="http://schemas.openxmlformats.org/officeDocument/2006/relationships/hyperlink" Target="https://uacm.edu.mx/organizacion/tesoreria" TargetMode="External"/><Relationship Id="rId1490" Type="http://schemas.openxmlformats.org/officeDocument/2006/relationships/hyperlink" Target="https://uacm.edu.mx/organizacion/tesoreria" TargetMode="External"/><Relationship Id="rId306" Type="http://schemas.openxmlformats.org/officeDocument/2006/relationships/hyperlink" Target="https://uacm.edu.mx/organizacion/tesoreria" TargetMode="External"/><Relationship Id="rId860" Type="http://schemas.openxmlformats.org/officeDocument/2006/relationships/hyperlink" Target="https://uacm.edu.mx/organizacion/tesoreria" TargetMode="External"/><Relationship Id="rId958" Type="http://schemas.openxmlformats.org/officeDocument/2006/relationships/hyperlink" Target="https://uacm.edu.mx/organizacion/tesoreria" TargetMode="External"/><Relationship Id="rId1143" Type="http://schemas.openxmlformats.org/officeDocument/2006/relationships/hyperlink" Target="https://uacm.edu.mx/organizacion/tesoreria" TargetMode="External"/><Relationship Id="rId87" Type="http://schemas.openxmlformats.org/officeDocument/2006/relationships/hyperlink" Target="https://uacm.edu.mx/organizacion/tesoreria" TargetMode="External"/><Relationship Id="rId513" Type="http://schemas.openxmlformats.org/officeDocument/2006/relationships/hyperlink" Target="https://uacm.edu.mx/organizacion/tesoreria" TargetMode="External"/><Relationship Id="rId720" Type="http://schemas.openxmlformats.org/officeDocument/2006/relationships/hyperlink" Target="https://uacm.edu.mx/organizacion/tesoreria" TargetMode="External"/><Relationship Id="rId818" Type="http://schemas.openxmlformats.org/officeDocument/2006/relationships/hyperlink" Target="https://uacm.edu.mx/organizacion/tesoreria" TargetMode="External"/><Relationship Id="rId1350" Type="http://schemas.openxmlformats.org/officeDocument/2006/relationships/hyperlink" Target="https://uacm.edu.mx/organizacion/tesoreria" TargetMode="External"/><Relationship Id="rId1448" Type="http://schemas.openxmlformats.org/officeDocument/2006/relationships/hyperlink" Target="https://uacm.edu.mx/organizacion/tesoreria" TargetMode="External"/><Relationship Id="rId1003" Type="http://schemas.openxmlformats.org/officeDocument/2006/relationships/hyperlink" Target="https://uacm.edu.mx/organizacion/tesoreria" TargetMode="External"/><Relationship Id="rId1210" Type="http://schemas.openxmlformats.org/officeDocument/2006/relationships/hyperlink" Target="https://uacm.edu.mx/organizacion/tesoreria" TargetMode="External"/><Relationship Id="rId1308" Type="http://schemas.openxmlformats.org/officeDocument/2006/relationships/hyperlink" Target="https://uacm.edu.mx/organizacion/tesoreria" TargetMode="External"/><Relationship Id="rId1515" Type="http://schemas.openxmlformats.org/officeDocument/2006/relationships/hyperlink" Target="https://uacm.edu.mx/organizacion/tesoreria" TargetMode="External"/><Relationship Id="rId14" Type="http://schemas.openxmlformats.org/officeDocument/2006/relationships/hyperlink" Target="https://uacm.edu.mx/organizacion/tesoreria" TargetMode="External"/><Relationship Id="rId163" Type="http://schemas.openxmlformats.org/officeDocument/2006/relationships/hyperlink" Target="https://uacm.edu.mx/organizacion/tesoreria" TargetMode="External"/><Relationship Id="rId370" Type="http://schemas.openxmlformats.org/officeDocument/2006/relationships/hyperlink" Target="https://uacm.edu.mx/organizacion/tesoreria" TargetMode="External"/><Relationship Id="rId230" Type="http://schemas.openxmlformats.org/officeDocument/2006/relationships/hyperlink" Target="https://uacm.edu.mx/organizacion/tesoreria" TargetMode="External"/><Relationship Id="rId468" Type="http://schemas.openxmlformats.org/officeDocument/2006/relationships/hyperlink" Target="https://uacm.edu.mx/organizacion/tesoreria" TargetMode="External"/><Relationship Id="rId675" Type="http://schemas.openxmlformats.org/officeDocument/2006/relationships/hyperlink" Target="https://uacm.edu.mx/organizacion/tesoreria" TargetMode="External"/><Relationship Id="rId882" Type="http://schemas.openxmlformats.org/officeDocument/2006/relationships/hyperlink" Target="https://uacm.edu.mx/organizacion/tesoreria" TargetMode="External"/><Relationship Id="rId1098" Type="http://schemas.openxmlformats.org/officeDocument/2006/relationships/hyperlink" Target="https://uacm.edu.mx/organizacion/tesoreria" TargetMode="External"/><Relationship Id="rId328" Type="http://schemas.openxmlformats.org/officeDocument/2006/relationships/hyperlink" Target="https://uacm.edu.mx/organizacion/tesoreria" TargetMode="External"/><Relationship Id="rId535" Type="http://schemas.openxmlformats.org/officeDocument/2006/relationships/hyperlink" Target="https://uacm.edu.mx/organizacion/tesoreria" TargetMode="External"/><Relationship Id="rId742" Type="http://schemas.openxmlformats.org/officeDocument/2006/relationships/hyperlink" Target="https://uacm.edu.mx/organizacion/tesoreria" TargetMode="External"/><Relationship Id="rId1165" Type="http://schemas.openxmlformats.org/officeDocument/2006/relationships/hyperlink" Target="https://uacm.edu.mx/organizacion/tesoreria" TargetMode="External"/><Relationship Id="rId1372" Type="http://schemas.openxmlformats.org/officeDocument/2006/relationships/hyperlink" Target="https://uacm.edu.mx/organizacion/tesoreria" TargetMode="External"/><Relationship Id="rId602" Type="http://schemas.openxmlformats.org/officeDocument/2006/relationships/hyperlink" Target="https://uacm.edu.mx/organizacion/tesoreria" TargetMode="External"/><Relationship Id="rId1025" Type="http://schemas.openxmlformats.org/officeDocument/2006/relationships/hyperlink" Target="https://uacm.edu.mx/organizacion/tesoreria" TargetMode="External"/><Relationship Id="rId1232" Type="http://schemas.openxmlformats.org/officeDocument/2006/relationships/hyperlink" Target="https://uacm.edu.mx/organizacion/tesoreria" TargetMode="External"/><Relationship Id="rId907" Type="http://schemas.openxmlformats.org/officeDocument/2006/relationships/hyperlink" Target="https://uacm.edu.mx/organizacion/tesoreria" TargetMode="External"/><Relationship Id="rId1537" Type="http://schemas.openxmlformats.org/officeDocument/2006/relationships/hyperlink" Target="https://uacm.edu.mx/organizacion/tesoreria" TargetMode="External"/><Relationship Id="rId36" Type="http://schemas.openxmlformats.org/officeDocument/2006/relationships/hyperlink" Target="https://uacm.edu.mx/organizacion/tesoreria" TargetMode="External"/><Relationship Id="rId185" Type="http://schemas.openxmlformats.org/officeDocument/2006/relationships/hyperlink" Target="https://uacm.edu.mx/organizacion/tesoreria" TargetMode="External"/><Relationship Id="rId392" Type="http://schemas.openxmlformats.org/officeDocument/2006/relationships/hyperlink" Target="https://uacm.edu.mx/organizacion/tesoreria" TargetMode="External"/><Relationship Id="rId697" Type="http://schemas.openxmlformats.org/officeDocument/2006/relationships/hyperlink" Target="https://uacm.edu.mx/organizacion/tesoreria" TargetMode="External"/><Relationship Id="rId252" Type="http://schemas.openxmlformats.org/officeDocument/2006/relationships/hyperlink" Target="https://uacm.edu.mx/organizacion/tesoreria" TargetMode="External"/><Relationship Id="rId1187" Type="http://schemas.openxmlformats.org/officeDocument/2006/relationships/hyperlink" Target="https://uacm.edu.mx/organizacion/tesoreria" TargetMode="External"/><Relationship Id="rId112" Type="http://schemas.openxmlformats.org/officeDocument/2006/relationships/hyperlink" Target="https://uacm.edu.mx/organizacion/tesoreria" TargetMode="External"/><Relationship Id="rId557" Type="http://schemas.openxmlformats.org/officeDocument/2006/relationships/hyperlink" Target="https://uacm.edu.mx/organizacion/tesoreria" TargetMode="External"/><Relationship Id="rId764" Type="http://schemas.openxmlformats.org/officeDocument/2006/relationships/hyperlink" Target="https://uacm.edu.mx/organizacion/tesoreria" TargetMode="External"/><Relationship Id="rId971" Type="http://schemas.openxmlformats.org/officeDocument/2006/relationships/hyperlink" Target="https://uacm.edu.mx/organizacion/tesoreria" TargetMode="External"/><Relationship Id="rId1394" Type="http://schemas.openxmlformats.org/officeDocument/2006/relationships/hyperlink" Target="https://uacm.edu.mx/organizacion/tesoreria" TargetMode="External"/><Relationship Id="rId417" Type="http://schemas.openxmlformats.org/officeDocument/2006/relationships/hyperlink" Target="https://uacm.edu.mx/organizacion/tesoreria" TargetMode="External"/><Relationship Id="rId624" Type="http://schemas.openxmlformats.org/officeDocument/2006/relationships/hyperlink" Target="https://uacm.edu.mx/organizacion/tesoreria" TargetMode="External"/><Relationship Id="rId831" Type="http://schemas.openxmlformats.org/officeDocument/2006/relationships/hyperlink" Target="https://uacm.edu.mx/organizacion/tesoreria" TargetMode="External"/><Relationship Id="rId1047" Type="http://schemas.openxmlformats.org/officeDocument/2006/relationships/hyperlink" Target="https://uacm.edu.mx/organizacion/tesoreria" TargetMode="External"/><Relationship Id="rId1254" Type="http://schemas.openxmlformats.org/officeDocument/2006/relationships/hyperlink" Target="https://uacm.edu.mx/organizacion/tesoreria" TargetMode="External"/><Relationship Id="rId1461" Type="http://schemas.openxmlformats.org/officeDocument/2006/relationships/hyperlink" Target="https://uacm.edu.mx/organizacion/tesoreria" TargetMode="External"/><Relationship Id="rId929" Type="http://schemas.openxmlformats.org/officeDocument/2006/relationships/hyperlink" Target="https://uacm.edu.mx/organizacion/tesoreria" TargetMode="External"/><Relationship Id="rId1114" Type="http://schemas.openxmlformats.org/officeDocument/2006/relationships/hyperlink" Target="https://uacm.edu.mx/organizacion/tesoreria" TargetMode="External"/><Relationship Id="rId1321" Type="http://schemas.openxmlformats.org/officeDocument/2006/relationships/hyperlink" Target="https://uacm.edu.mx/organizacion/tesoreria" TargetMode="External"/><Relationship Id="rId58" Type="http://schemas.openxmlformats.org/officeDocument/2006/relationships/hyperlink" Target="https://uacm.edu.mx/organizacion/tesoreria" TargetMode="External"/><Relationship Id="rId1419" Type="http://schemas.openxmlformats.org/officeDocument/2006/relationships/hyperlink" Target="https://uacm.edu.mx/organizacion/tesoreria" TargetMode="External"/><Relationship Id="rId274" Type="http://schemas.openxmlformats.org/officeDocument/2006/relationships/hyperlink" Target="https://uacm.edu.mx/organizacion/tesoreria" TargetMode="External"/><Relationship Id="rId481" Type="http://schemas.openxmlformats.org/officeDocument/2006/relationships/hyperlink" Target="https://uacm.edu.mx/organizacion/tesoreria" TargetMode="External"/><Relationship Id="rId134" Type="http://schemas.openxmlformats.org/officeDocument/2006/relationships/hyperlink" Target="https://uacm.edu.mx/organizacion/tesoreria" TargetMode="External"/><Relationship Id="rId579" Type="http://schemas.openxmlformats.org/officeDocument/2006/relationships/hyperlink" Target="https://uacm.edu.mx/organizacion/tesoreria" TargetMode="External"/><Relationship Id="rId786" Type="http://schemas.openxmlformats.org/officeDocument/2006/relationships/hyperlink" Target="https://uacm.edu.mx/organizacion/tesoreria" TargetMode="External"/><Relationship Id="rId993" Type="http://schemas.openxmlformats.org/officeDocument/2006/relationships/hyperlink" Target="https://uacm.edu.mx/organizacion/tesoreria" TargetMode="External"/><Relationship Id="rId341" Type="http://schemas.openxmlformats.org/officeDocument/2006/relationships/hyperlink" Target="https://uacm.edu.mx/organizacion/tesoreria" TargetMode="External"/><Relationship Id="rId439" Type="http://schemas.openxmlformats.org/officeDocument/2006/relationships/hyperlink" Target="https://uacm.edu.mx/organizacion/tesoreria" TargetMode="External"/><Relationship Id="rId646" Type="http://schemas.openxmlformats.org/officeDocument/2006/relationships/hyperlink" Target="https://uacm.edu.mx/organizacion/tesoreria" TargetMode="External"/><Relationship Id="rId1069" Type="http://schemas.openxmlformats.org/officeDocument/2006/relationships/hyperlink" Target="https://uacm.edu.mx/organizacion/tesoreria" TargetMode="External"/><Relationship Id="rId1276" Type="http://schemas.openxmlformats.org/officeDocument/2006/relationships/hyperlink" Target="https://uacm.edu.mx/organizacion/tesoreria" TargetMode="External"/><Relationship Id="rId1483" Type="http://schemas.openxmlformats.org/officeDocument/2006/relationships/hyperlink" Target="https://uacm.edu.mx/organizacion/tesoreria" TargetMode="External"/><Relationship Id="rId201" Type="http://schemas.openxmlformats.org/officeDocument/2006/relationships/hyperlink" Target="https://uacm.edu.mx/organizacion/tesoreria" TargetMode="External"/><Relationship Id="rId506" Type="http://schemas.openxmlformats.org/officeDocument/2006/relationships/hyperlink" Target="https://uacm.edu.mx/organizacion/tesoreria" TargetMode="External"/><Relationship Id="rId853" Type="http://schemas.openxmlformats.org/officeDocument/2006/relationships/hyperlink" Target="https://uacm.edu.mx/organizacion/tesoreria" TargetMode="External"/><Relationship Id="rId1136" Type="http://schemas.openxmlformats.org/officeDocument/2006/relationships/hyperlink" Target="https://uacm.edu.mx/organizacion/tesoreria" TargetMode="External"/><Relationship Id="rId713" Type="http://schemas.openxmlformats.org/officeDocument/2006/relationships/hyperlink" Target="https://uacm.edu.mx/organizacion/tesoreria" TargetMode="External"/><Relationship Id="rId920" Type="http://schemas.openxmlformats.org/officeDocument/2006/relationships/hyperlink" Target="https://uacm.edu.mx/organizacion/tesoreria" TargetMode="External"/><Relationship Id="rId1343" Type="http://schemas.openxmlformats.org/officeDocument/2006/relationships/hyperlink" Target="https://uacm.edu.mx/organizacion/tesoreria" TargetMode="External"/><Relationship Id="rId1550" Type="http://schemas.openxmlformats.org/officeDocument/2006/relationships/printerSettings" Target="../printerSettings/printerSettings1.bin"/><Relationship Id="rId1203" Type="http://schemas.openxmlformats.org/officeDocument/2006/relationships/hyperlink" Target="https://uacm.edu.mx/organizacion/tesoreria" TargetMode="External"/><Relationship Id="rId1410" Type="http://schemas.openxmlformats.org/officeDocument/2006/relationships/hyperlink" Target="https://uacm.edu.mx/organizacion/tesoreria" TargetMode="External"/><Relationship Id="rId1508" Type="http://schemas.openxmlformats.org/officeDocument/2006/relationships/hyperlink" Target="https://uacm.edu.mx/organizacion/tesoreria" TargetMode="External"/><Relationship Id="rId296" Type="http://schemas.openxmlformats.org/officeDocument/2006/relationships/hyperlink" Target="https://uacm.edu.mx/organizacion/tesoreria" TargetMode="External"/><Relationship Id="rId156" Type="http://schemas.openxmlformats.org/officeDocument/2006/relationships/hyperlink" Target="https://uacm.edu.mx/organizacion/tesoreria" TargetMode="External"/><Relationship Id="rId363" Type="http://schemas.openxmlformats.org/officeDocument/2006/relationships/hyperlink" Target="https://uacm.edu.mx/organizacion/tesoreria" TargetMode="External"/><Relationship Id="rId570" Type="http://schemas.openxmlformats.org/officeDocument/2006/relationships/hyperlink" Target="https://uacm.edu.mx/organizacion/tesoreria" TargetMode="External"/><Relationship Id="rId223" Type="http://schemas.openxmlformats.org/officeDocument/2006/relationships/hyperlink" Target="https://uacm.edu.mx/organizacion/tesoreria" TargetMode="External"/><Relationship Id="rId430" Type="http://schemas.openxmlformats.org/officeDocument/2006/relationships/hyperlink" Target="https://uacm.edu.mx/organizacion/tesoreria" TargetMode="External"/><Relationship Id="rId668" Type="http://schemas.openxmlformats.org/officeDocument/2006/relationships/hyperlink" Target="https://uacm.edu.mx/organizacion/tesoreria" TargetMode="External"/><Relationship Id="rId875" Type="http://schemas.openxmlformats.org/officeDocument/2006/relationships/hyperlink" Target="https://uacm.edu.mx/organizacion/tesoreria" TargetMode="External"/><Relationship Id="rId1060" Type="http://schemas.openxmlformats.org/officeDocument/2006/relationships/hyperlink" Target="https://uacm.edu.mx/organizacion/tesoreria" TargetMode="External"/><Relationship Id="rId1298" Type="http://schemas.openxmlformats.org/officeDocument/2006/relationships/hyperlink" Target="https://uacm.edu.mx/organizacion/tesoreria" TargetMode="External"/><Relationship Id="rId528" Type="http://schemas.openxmlformats.org/officeDocument/2006/relationships/hyperlink" Target="https://uacm.edu.mx/organizacion/tesoreria" TargetMode="External"/><Relationship Id="rId735" Type="http://schemas.openxmlformats.org/officeDocument/2006/relationships/hyperlink" Target="https://uacm.edu.mx/organizacion/tesoreria" TargetMode="External"/><Relationship Id="rId942" Type="http://schemas.openxmlformats.org/officeDocument/2006/relationships/hyperlink" Target="https://uacm.edu.mx/organizacion/tesoreria" TargetMode="External"/><Relationship Id="rId1158" Type="http://schemas.openxmlformats.org/officeDocument/2006/relationships/hyperlink" Target="https://uacm.edu.mx/organizacion/tesoreria" TargetMode="External"/><Relationship Id="rId1365" Type="http://schemas.openxmlformats.org/officeDocument/2006/relationships/hyperlink" Target="https://uacm.edu.mx/organizacion/tesoreria" TargetMode="External"/><Relationship Id="rId1018" Type="http://schemas.openxmlformats.org/officeDocument/2006/relationships/hyperlink" Target="https://uacm.edu.mx/organizacion/tesoreria" TargetMode="External"/><Relationship Id="rId1225" Type="http://schemas.openxmlformats.org/officeDocument/2006/relationships/hyperlink" Target="https://uacm.edu.mx/organizacion/tesoreria" TargetMode="External"/><Relationship Id="rId1432" Type="http://schemas.openxmlformats.org/officeDocument/2006/relationships/hyperlink" Target="https://uacm.edu.mx/organizacion/tesoreria" TargetMode="External"/><Relationship Id="rId71" Type="http://schemas.openxmlformats.org/officeDocument/2006/relationships/hyperlink" Target="https://uacm.edu.mx/organizacion/tesoreria" TargetMode="External"/><Relationship Id="rId802" Type="http://schemas.openxmlformats.org/officeDocument/2006/relationships/hyperlink" Target="https://uacm.edu.mx/organizacion/tesoreria" TargetMode="External"/><Relationship Id="rId29" Type="http://schemas.openxmlformats.org/officeDocument/2006/relationships/hyperlink" Target="https://uacm.edu.mx/organizacion/tesoreria" TargetMode="External"/><Relationship Id="rId178" Type="http://schemas.openxmlformats.org/officeDocument/2006/relationships/hyperlink" Target="https://uacm.edu.mx/organizacion/tesoreria" TargetMode="External"/><Relationship Id="rId385" Type="http://schemas.openxmlformats.org/officeDocument/2006/relationships/hyperlink" Target="https://uacm.edu.mx/organizacion/tesoreria" TargetMode="External"/><Relationship Id="rId592" Type="http://schemas.openxmlformats.org/officeDocument/2006/relationships/hyperlink" Target="https://uacm.edu.mx/organizacion/tesoreria" TargetMode="External"/><Relationship Id="rId245" Type="http://schemas.openxmlformats.org/officeDocument/2006/relationships/hyperlink" Target="https://uacm.edu.mx/organizacion/tesoreria" TargetMode="External"/><Relationship Id="rId452" Type="http://schemas.openxmlformats.org/officeDocument/2006/relationships/hyperlink" Target="https://uacm.edu.mx/organizacion/tesoreria" TargetMode="External"/><Relationship Id="rId897" Type="http://schemas.openxmlformats.org/officeDocument/2006/relationships/hyperlink" Target="https://uacm.edu.mx/organizacion/tesoreria" TargetMode="External"/><Relationship Id="rId1082" Type="http://schemas.openxmlformats.org/officeDocument/2006/relationships/hyperlink" Target="https://uacm.edu.mx/organizacion/tesoreria" TargetMode="External"/><Relationship Id="rId105" Type="http://schemas.openxmlformats.org/officeDocument/2006/relationships/hyperlink" Target="https://uacm.edu.mx/organizacion/tesoreria" TargetMode="External"/><Relationship Id="rId312" Type="http://schemas.openxmlformats.org/officeDocument/2006/relationships/hyperlink" Target="https://uacm.edu.mx/organizacion/tesoreria" TargetMode="External"/><Relationship Id="rId757" Type="http://schemas.openxmlformats.org/officeDocument/2006/relationships/hyperlink" Target="https://uacm.edu.mx/organizacion/tesoreria" TargetMode="External"/><Relationship Id="rId964" Type="http://schemas.openxmlformats.org/officeDocument/2006/relationships/hyperlink" Target="https://uacm.edu.mx/organizacion/tesoreria" TargetMode="External"/><Relationship Id="rId1387" Type="http://schemas.openxmlformats.org/officeDocument/2006/relationships/hyperlink" Target="https://uacm.edu.mx/organizacion/tesoreria" TargetMode="External"/><Relationship Id="rId93" Type="http://schemas.openxmlformats.org/officeDocument/2006/relationships/hyperlink" Target="https://uacm.edu.mx/organizacion/tesoreria" TargetMode="External"/><Relationship Id="rId617" Type="http://schemas.openxmlformats.org/officeDocument/2006/relationships/hyperlink" Target="https://uacm.edu.mx/organizacion/tesoreria" TargetMode="External"/><Relationship Id="rId824" Type="http://schemas.openxmlformats.org/officeDocument/2006/relationships/hyperlink" Target="https://uacm.edu.mx/organizacion/tesoreria" TargetMode="External"/><Relationship Id="rId1247" Type="http://schemas.openxmlformats.org/officeDocument/2006/relationships/hyperlink" Target="https://uacm.edu.mx/organizacion/tesoreria" TargetMode="External"/><Relationship Id="rId1454" Type="http://schemas.openxmlformats.org/officeDocument/2006/relationships/hyperlink" Target="https://uacm.edu.mx/organizacion/tesoreria" TargetMode="External"/><Relationship Id="rId1107" Type="http://schemas.openxmlformats.org/officeDocument/2006/relationships/hyperlink" Target="https://uacm.edu.mx/organizacion/tesoreria" TargetMode="External"/><Relationship Id="rId1314" Type="http://schemas.openxmlformats.org/officeDocument/2006/relationships/hyperlink" Target="https://uacm.edu.mx/organizacion/tesoreria" TargetMode="External"/><Relationship Id="rId1521" Type="http://schemas.openxmlformats.org/officeDocument/2006/relationships/hyperlink" Target="https://uacm.edu.mx/organizacion/tesoreria" TargetMode="External"/><Relationship Id="rId20" Type="http://schemas.openxmlformats.org/officeDocument/2006/relationships/hyperlink" Target="https://uacm.edu.mx/organizacion/tesoreria" TargetMode="External"/><Relationship Id="rId267" Type="http://schemas.openxmlformats.org/officeDocument/2006/relationships/hyperlink" Target="https://uacm.edu.mx/organizacion/tesoreria" TargetMode="External"/><Relationship Id="rId474" Type="http://schemas.openxmlformats.org/officeDocument/2006/relationships/hyperlink" Target="https://uacm.edu.mx/organizacion/tesoreria" TargetMode="External"/><Relationship Id="rId127" Type="http://schemas.openxmlformats.org/officeDocument/2006/relationships/hyperlink" Target="https://uacm.edu.mx/organizacion/tesoreria" TargetMode="External"/><Relationship Id="rId681" Type="http://schemas.openxmlformats.org/officeDocument/2006/relationships/hyperlink" Target="https://uacm.edu.mx/organizacion/tesoreria" TargetMode="External"/><Relationship Id="rId779" Type="http://schemas.openxmlformats.org/officeDocument/2006/relationships/hyperlink" Target="https://uacm.edu.mx/organizacion/tesoreria" TargetMode="External"/><Relationship Id="rId986" Type="http://schemas.openxmlformats.org/officeDocument/2006/relationships/hyperlink" Target="https://uacm.edu.mx/organizacion/tesoreria" TargetMode="External"/><Relationship Id="rId334" Type="http://schemas.openxmlformats.org/officeDocument/2006/relationships/hyperlink" Target="https://uacm.edu.mx/organizacion/tesoreria" TargetMode="External"/><Relationship Id="rId541" Type="http://schemas.openxmlformats.org/officeDocument/2006/relationships/hyperlink" Target="https://uacm.edu.mx/organizacion/tesoreria" TargetMode="External"/><Relationship Id="rId639" Type="http://schemas.openxmlformats.org/officeDocument/2006/relationships/hyperlink" Target="https://uacm.edu.mx/organizacion/tesoreria" TargetMode="External"/><Relationship Id="rId1171" Type="http://schemas.openxmlformats.org/officeDocument/2006/relationships/hyperlink" Target="https://uacm.edu.mx/organizacion/tesoreria" TargetMode="External"/><Relationship Id="rId1269" Type="http://schemas.openxmlformats.org/officeDocument/2006/relationships/hyperlink" Target="https://uacm.edu.mx/organizacion/tesoreria" TargetMode="External"/><Relationship Id="rId1476" Type="http://schemas.openxmlformats.org/officeDocument/2006/relationships/hyperlink" Target="https://uacm.edu.mx/organizacion/tesoreria" TargetMode="External"/><Relationship Id="rId401" Type="http://schemas.openxmlformats.org/officeDocument/2006/relationships/hyperlink" Target="https://uacm.edu.mx/organizacion/tesoreria" TargetMode="External"/><Relationship Id="rId846" Type="http://schemas.openxmlformats.org/officeDocument/2006/relationships/hyperlink" Target="https://uacm.edu.mx/organizacion/tesoreria" TargetMode="External"/><Relationship Id="rId1031" Type="http://schemas.openxmlformats.org/officeDocument/2006/relationships/hyperlink" Target="https://uacm.edu.mx/organizacion/tesoreria" TargetMode="External"/><Relationship Id="rId1129" Type="http://schemas.openxmlformats.org/officeDocument/2006/relationships/hyperlink" Target="https://uacm.edu.mx/organizacion/tesoreria" TargetMode="External"/><Relationship Id="rId706" Type="http://schemas.openxmlformats.org/officeDocument/2006/relationships/hyperlink" Target="https://uacm.edu.mx/organizacion/tesoreria" TargetMode="External"/><Relationship Id="rId913" Type="http://schemas.openxmlformats.org/officeDocument/2006/relationships/hyperlink" Target="https://uacm.edu.mx/organizacion/tesoreria" TargetMode="External"/><Relationship Id="rId1336" Type="http://schemas.openxmlformats.org/officeDocument/2006/relationships/hyperlink" Target="https://uacm.edu.mx/organizacion/tesoreria" TargetMode="External"/><Relationship Id="rId1543" Type="http://schemas.openxmlformats.org/officeDocument/2006/relationships/hyperlink" Target="https://uacm.edu.mx/organizacion/tesoreria" TargetMode="External"/><Relationship Id="rId42" Type="http://schemas.openxmlformats.org/officeDocument/2006/relationships/hyperlink" Target="https://uacm.edu.mx/organizacion/tesoreria" TargetMode="External"/><Relationship Id="rId1403" Type="http://schemas.openxmlformats.org/officeDocument/2006/relationships/hyperlink" Target="https://uacm.edu.mx/organizacion/tesoreria" TargetMode="External"/><Relationship Id="rId191" Type="http://schemas.openxmlformats.org/officeDocument/2006/relationships/hyperlink" Target="https://uacm.edu.mx/organizacion/tesoreria" TargetMode="External"/><Relationship Id="rId289" Type="http://schemas.openxmlformats.org/officeDocument/2006/relationships/hyperlink" Target="https://uacm.edu.mx/organizacion/tesoreria" TargetMode="External"/><Relationship Id="rId496" Type="http://schemas.openxmlformats.org/officeDocument/2006/relationships/hyperlink" Target="https://uacm.edu.mx/organizacion/tesoreria" TargetMode="External"/><Relationship Id="rId149" Type="http://schemas.openxmlformats.org/officeDocument/2006/relationships/hyperlink" Target="https://uacm.edu.mx/organizacion/tesoreria" TargetMode="External"/><Relationship Id="rId356" Type="http://schemas.openxmlformats.org/officeDocument/2006/relationships/hyperlink" Target="https://uacm.edu.mx/organizacion/tesoreria" TargetMode="External"/><Relationship Id="rId563" Type="http://schemas.openxmlformats.org/officeDocument/2006/relationships/hyperlink" Target="https://uacm.edu.mx/organizacion/tesoreria" TargetMode="External"/><Relationship Id="rId770" Type="http://schemas.openxmlformats.org/officeDocument/2006/relationships/hyperlink" Target="https://uacm.edu.mx/organizacion/tesoreria" TargetMode="External"/><Relationship Id="rId1193" Type="http://schemas.openxmlformats.org/officeDocument/2006/relationships/hyperlink" Target="https://uacm.edu.mx/organizacion/tesoreria" TargetMode="External"/><Relationship Id="rId216" Type="http://schemas.openxmlformats.org/officeDocument/2006/relationships/hyperlink" Target="https://uacm.edu.mx/organizacion/tesoreria" TargetMode="External"/><Relationship Id="rId423" Type="http://schemas.openxmlformats.org/officeDocument/2006/relationships/hyperlink" Target="https://uacm.edu.mx/organizacion/tesoreria" TargetMode="External"/><Relationship Id="rId868" Type="http://schemas.openxmlformats.org/officeDocument/2006/relationships/hyperlink" Target="https://uacm.edu.mx/organizacion/tesoreria" TargetMode="External"/><Relationship Id="rId1053" Type="http://schemas.openxmlformats.org/officeDocument/2006/relationships/hyperlink" Target="https://uacm.edu.mx/organizacion/tesoreria" TargetMode="External"/><Relationship Id="rId1260" Type="http://schemas.openxmlformats.org/officeDocument/2006/relationships/hyperlink" Target="https://uacm.edu.mx/organizacion/tesoreria" TargetMode="External"/><Relationship Id="rId1498" Type="http://schemas.openxmlformats.org/officeDocument/2006/relationships/hyperlink" Target="https://uacm.edu.mx/organizacion/tesoreria" TargetMode="External"/><Relationship Id="rId630" Type="http://schemas.openxmlformats.org/officeDocument/2006/relationships/hyperlink" Target="https://uacm.edu.mx/organizacion/tesoreria" TargetMode="External"/><Relationship Id="rId728" Type="http://schemas.openxmlformats.org/officeDocument/2006/relationships/hyperlink" Target="https://uacm.edu.mx/organizacion/tesoreria" TargetMode="External"/><Relationship Id="rId935" Type="http://schemas.openxmlformats.org/officeDocument/2006/relationships/hyperlink" Target="https://uacm.edu.mx/organizacion/tesoreria" TargetMode="External"/><Relationship Id="rId1358" Type="http://schemas.openxmlformats.org/officeDocument/2006/relationships/hyperlink" Target="https://uacm.edu.mx/organizacion/tesoreria" TargetMode="External"/><Relationship Id="rId64" Type="http://schemas.openxmlformats.org/officeDocument/2006/relationships/hyperlink" Target="https://uacm.edu.mx/organizacion/tesoreria" TargetMode="External"/><Relationship Id="rId1120" Type="http://schemas.openxmlformats.org/officeDocument/2006/relationships/hyperlink" Target="https://uacm.edu.mx/organizacion/tesoreria" TargetMode="External"/><Relationship Id="rId1218" Type="http://schemas.openxmlformats.org/officeDocument/2006/relationships/hyperlink" Target="https://uacm.edu.mx/organizacion/tesoreria" TargetMode="External"/><Relationship Id="rId1425" Type="http://schemas.openxmlformats.org/officeDocument/2006/relationships/hyperlink" Target="https://uacm.edu.mx/organizacion/tesoreria" TargetMode="External"/><Relationship Id="rId280" Type="http://schemas.openxmlformats.org/officeDocument/2006/relationships/hyperlink" Target="https://uacm.edu.mx/organizacion/tesoreria" TargetMode="External"/><Relationship Id="rId140" Type="http://schemas.openxmlformats.org/officeDocument/2006/relationships/hyperlink" Target="https://uacm.edu.mx/organizacion/tesoreria" TargetMode="External"/><Relationship Id="rId378" Type="http://schemas.openxmlformats.org/officeDocument/2006/relationships/hyperlink" Target="https://uacm.edu.mx/organizacion/tesoreria" TargetMode="External"/><Relationship Id="rId585" Type="http://schemas.openxmlformats.org/officeDocument/2006/relationships/hyperlink" Target="https://uacm.edu.mx/organizacion/tesoreria" TargetMode="External"/><Relationship Id="rId792" Type="http://schemas.openxmlformats.org/officeDocument/2006/relationships/hyperlink" Target="https://uacm.edu.mx/organizacion/tesoreria" TargetMode="External"/><Relationship Id="rId6" Type="http://schemas.openxmlformats.org/officeDocument/2006/relationships/hyperlink" Target="https://uacm.edu.mx/organizacion/tesoreria" TargetMode="External"/><Relationship Id="rId238" Type="http://schemas.openxmlformats.org/officeDocument/2006/relationships/hyperlink" Target="https://uacm.edu.mx/organizacion/tesoreria" TargetMode="External"/><Relationship Id="rId445" Type="http://schemas.openxmlformats.org/officeDocument/2006/relationships/hyperlink" Target="https://uacm.edu.mx/organizacion/tesoreria" TargetMode="External"/><Relationship Id="rId652" Type="http://schemas.openxmlformats.org/officeDocument/2006/relationships/hyperlink" Target="https://uacm.edu.mx/organizacion/tesoreria" TargetMode="External"/><Relationship Id="rId1075" Type="http://schemas.openxmlformats.org/officeDocument/2006/relationships/hyperlink" Target="https://uacm.edu.mx/organizacion/tesoreria" TargetMode="External"/><Relationship Id="rId1282" Type="http://schemas.openxmlformats.org/officeDocument/2006/relationships/hyperlink" Target="https://uacm.edu.mx/organizacion/tesoreria" TargetMode="External"/><Relationship Id="rId305" Type="http://schemas.openxmlformats.org/officeDocument/2006/relationships/hyperlink" Target="https://uacm.edu.mx/organizacion/tesoreria" TargetMode="External"/><Relationship Id="rId512" Type="http://schemas.openxmlformats.org/officeDocument/2006/relationships/hyperlink" Target="https://uacm.edu.mx/organizacion/tesoreria" TargetMode="External"/><Relationship Id="rId957" Type="http://schemas.openxmlformats.org/officeDocument/2006/relationships/hyperlink" Target="https://uacm.edu.mx/organizacion/tesoreria" TargetMode="External"/><Relationship Id="rId1142" Type="http://schemas.openxmlformats.org/officeDocument/2006/relationships/hyperlink" Target="https://uacm.edu.mx/organizacion/tesoreria" TargetMode="External"/><Relationship Id="rId86" Type="http://schemas.openxmlformats.org/officeDocument/2006/relationships/hyperlink" Target="https://uacm.edu.mx/organizacion/tesoreria" TargetMode="External"/><Relationship Id="rId817" Type="http://schemas.openxmlformats.org/officeDocument/2006/relationships/hyperlink" Target="https://uacm.edu.mx/organizacion/tesoreria" TargetMode="External"/><Relationship Id="rId1002" Type="http://schemas.openxmlformats.org/officeDocument/2006/relationships/hyperlink" Target="https://uacm.edu.mx/organizacion/tesoreria" TargetMode="External"/><Relationship Id="rId1447" Type="http://schemas.openxmlformats.org/officeDocument/2006/relationships/hyperlink" Target="https://uacm.edu.mx/organizacion/tesoreria" TargetMode="External"/><Relationship Id="rId1307" Type="http://schemas.openxmlformats.org/officeDocument/2006/relationships/hyperlink" Target="https://uacm.edu.mx/organizacion/tesoreria" TargetMode="External"/><Relationship Id="rId1514" Type="http://schemas.openxmlformats.org/officeDocument/2006/relationships/hyperlink" Target="https://uacm.edu.mx/organizacion/tesoreria" TargetMode="External"/><Relationship Id="rId13" Type="http://schemas.openxmlformats.org/officeDocument/2006/relationships/hyperlink" Target="https://uacm.edu.mx/organizacion/tesoreria" TargetMode="External"/><Relationship Id="rId162" Type="http://schemas.openxmlformats.org/officeDocument/2006/relationships/hyperlink" Target="https://uacm.edu.mx/organizacion/tesoreria" TargetMode="External"/><Relationship Id="rId467" Type="http://schemas.openxmlformats.org/officeDocument/2006/relationships/hyperlink" Target="https://uacm.edu.mx/organizacion/tesoreria" TargetMode="External"/><Relationship Id="rId1097" Type="http://schemas.openxmlformats.org/officeDocument/2006/relationships/hyperlink" Target="https://uacm.edu.mx/organizacion/tesoreria" TargetMode="External"/><Relationship Id="rId674" Type="http://schemas.openxmlformats.org/officeDocument/2006/relationships/hyperlink" Target="https://uacm.edu.mx/organizacion/tesoreria" TargetMode="External"/><Relationship Id="rId881" Type="http://schemas.openxmlformats.org/officeDocument/2006/relationships/hyperlink" Target="https://uacm.edu.mx/organizacion/tesoreria" TargetMode="External"/><Relationship Id="rId979" Type="http://schemas.openxmlformats.org/officeDocument/2006/relationships/hyperlink" Target="https://uacm.edu.mx/organizacion/tesoreria" TargetMode="External"/><Relationship Id="rId327" Type="http://schemas.openxmlformats.org/officeDocument/2006/relationships/hyperlink" Target="https://uacm.edu.mx/organizacion/tesoreria" TargetMode="External"/><Relationship Id="rId534" Type="http://schemas.openxmlformats.org/officeDocument/2006/relationships/hyperlink" Target="https://uacm.edu.mx/organizacion/tesoreria" TargetMode="External"/><Relationship Id="rId741" Type="http://schemas.openxmlformats.org/officeDocument/2006/relationships/hyperlink" Target="https://uacm.edu.mx/organizacion/tesoreria" TargetMode="External"/><Relationship Id="rId839" Type="http://schemas.openxmlformats.org/officeDocument/2006/relationships/hyperlink" Target="https://uacm.edu.mx/organizacion/tesoreria" TargetMode="External"/><Relationship Id="rId1164" Type="http://schemas.openxmlformats.org/officeDocument/2006/relationships/hyperlink" Target="https://uacm.edu.mx/organizacion/tesoreria" TargetMode="External"/><Relationship Id="rId1371" Type="http://schemas.openxmlformats.org/officeDocument/2006/relationships/hyperlink" Target="https://uacm.edu.mx/organizacion/tesoreria" TargetMode="External"/><Relationship Id="rId1469" Type="http://schemas.openxmlformats.org/officeDocument/2006/relationships/hyperlink" Target="https://uacm.edu.mx/organizacion/tesoreria" TargetMode="External"/><Relationship Id="rId601" Type="http://schemas.openxmlformats.org/officeDocument/2006/relationships/hyperlink" Target="https://uacm.edu.mx/organizacion/tesoreria" TargetMode="External"/><Relationship Id="rId1024" Type="http://schemas.openxmlformats.org/officeDocument/2006/relationships/hyperlink" Target="https://uacm.edu.mx/organizacion/tesoreria" TargetMode="External"/><Relationship Id="rId1231" Type="http://schemas.openxmlformats.org/officeDocument/2006/relationships/hyperlink" Target="https://uacm.edu.mx/organizacion/tesoreria" TargetMode="External"/><Relationship Id="rId906" Type="http://schemas.openxmlformats.org/officeDocument/2006/relationships/hyperlink" Target="https://uacm.edu.mx/organizacion/tesoreria" TargetMode="External"/><Relationship Id="rId1329" Type="http://schemas.openxmlformats.org/officeDocument/2006/relationships/hyperlink" Target="https://uacm.edu.mx/organizacion/tesoreria" TargetMode="External"/><Relationship Id="rId1536" Type="http://schemas.openxmlformats.org/officeDocument/2006/relationships/hyperlink" Target="https://uacm.edu.mx/organizacion/tesoreria" TargetMode="External"/><Relationship Id="rId35" Type="http://schemas.openxmlformats.org/officeDocument/2006/relationships/hyperlink" Target="https://uacm.edu.mx/organizacion/tesoreria" TargetMode="External"/><Relationship Id="rId184" Type="http://schemas.openxmlformats.org/officeDocument/2006/relationships/hyperlink" Target="https://uacm.edu.mx/organizacion/tesoreria" TargetMode="External"/><Relationship Id="rId391" Type="http://schemas.openxmlformats.org/officeDocument/2006/relationships/hyperlink" Target="https://uacm.edu.mx/organizacion/tesoreria" TargetMode="External"/><Relationship Id="rId251" Type="http://schemas.openxmlformats.org/officeDocument/2006/relationships/hyperlink" Target="https://uacm.edu.mx/organizacion/tesoreria" TargetMode="External"/><Relationship Id="rId489" Type="http://schemas.openxmlformats.org/officeDocument/2006/relationships/hyperlink" Target="https://uacm.edu.mx/organizacion/tesoreria" TargetMode="External"/><Relationship Id="rId696" Type="http://schemas.openxmlformats.org/officeDocument/2006/relationships/hyperlink" Target="https://uacm.edu.mx/organizacion/tesoreria" TargetMode="External"/><Relationship Id="rId349" Type="http://schemas.openxmlformats.org/officeDocument/2006/relationships/hyperlink" Target="https://uacm.edu.mx/organizacion/tesoreria" TargetMode="External"/><Relationship Id="rId556" Type="http://schemas.openxmlformats.org/officeDocument/2006/relationships/hyperlink" Target="https://uacm.edu.mx/organizacion/tesoreria" TargetMode="External"/><Relationship Id="rId763" Type="http://schemas.openxmlformats.org/officeDocument/2006/relationships/hyperlink" Target="https://uacm.edu.mx/organizacion/tesoreria" TargetMode="External"/><Relationship Id="rId1186" Type="http://schemas.openxmlformats.org/officeDocument/2006/relationships/hyperlink" Target="https://uacm.edu.mx/organizacion/tesoreria" TargetMode="External"/><Relationship Id="rId1393" Type="http://schemas.openxmlformats.org/officeDocument/2006/relationships/hyperlink" Target="https://uacm.edu.mx/organizacion/tesoreria" TargetMode="External"/><Relationship Id="rId111" Type="http://schemas.openxmlformats.org/officeDocument/2006/relationships/hyperlink" Target="https://uacm.edu.mx/organizacion/tesoreria" TargetMode="External"/><Relationship Id="rId209" Type="http://schemas.openxmlformats.org/officeDocument/2006/relationships/hyperlink" Target="https://uacm.edu.mx/organizacion/tesoreria" TargetMode="External"/><Relationship Id="rId416" Type="http://schemas.openxmlformats.org/officeDocument/2006/relationships/hyperlink" Target="https://uacm.edu.mx/organizacion/tesoreria" TargetMode="External"/><Relationship Id="rId970" Type="http://schemas.openxmlformats.org/officeDocument/2006/relationships/hyperlink" Target="https://uacm.edu.mx/organizacion/tesoreria" TargetMode="External"/><Relationship Id="rId1046" Type="http://schemas.openxmlformats.org/officeDocument/2006/relationships/hyperlink" Target="https://uacm.edu.mx/organizacion/tesoreria" TargetMode="External"/><Relationship Id="rId1253" Type="http://schemas.openxmlformats.org/officeDocument/2006/relationships/hyperlink" Target="https://uacm.edu.mx/organizacion/tesoreria" TargetMode="External"/><Relationship Id="rId623" Type="http://schemas.openxmlformats.org/officeDocument/2006/relationships/hyperlink" Target="https://uacm.edu.mx/organizacion/tesoreria" TargetMode="External"/><Relationship Id="rId830" Type="http://schemas.openxmlformats.org/officeDocument/2006/relationships/hyperlink" Target="https://uacm.edu.mx/organizacion/tesoreria" TargetMode="External"/><Relationship Id="rId928" Type="http://schemas.openxmlformats.org/officeDocument/2006/relationships/hyperlink" Target="https://uacm.edu.mx/organizacion/tesoreria" TargetMode="External"/><Relationship Id="rId1460" Type="http://schemas.openxmlformats.org/officeDocument/2006/relationships/hyperlink" Target="https://uacm.edu.mx/organizacion/tesoreria" TargetMode="External"/><Relationship Id="rId57" Type="http://schemas.openxmlformats.org/officeDocument/2006/relationships/hyperlink" Target="https://uacm.edu.mx/organizacion/tesoreria" TargetMode="External"/><Relationship Id="rId1113" Type="http://schemas.openxmlformats.org/officeDocument/2006/relationships/hyperlink" Target="https://uacm.edu.mx/organizacion/tesoreria" TargetMode="External"/><Relationship Id="rId1320" Type="http://schemas.openxmlformats.org/officeDocument/2006/relationships/hyperlink" Target="https://uacm.edu.mx/organizacion/tesoreria" TargetMode="External"/><Relationship Id="rId1418" Type="http://schemas.openxmlformats.org/officeDocument/2006/relationships/hyperlink" Target="https://uacm.edu.mx/organizacion/tesoreria" TargetMode="External"/><Relationship Id="rId273" Type="http://schemas.openxmlformats.org/officeDocument/2006/relationships/hyperlink" Target="https://uacm.edu.mx/organizacion/tesoreria" TargetMode="External"/><Relationship Id="rId480" Type="http://schemas.openxmlformats.org/officeDocument/2006/relationships/hyperlink" Target="https://uacm.edu.mx/organizacion/tesoreria" TargetMode="External"/><Relationship Id="rId133" Type="http://schemas.openxmlformats.org/officeDocument/2006/relationships/hyperlink" Target="https://uacm.edu.mx/organizacion/tesoreria" TargetMode="External"/><Relationship Id="rId340" Type="http://schemas.openxmlformats.org/officeDocument/2006/relationships/hyperlink" Target="https://uacm.edu.mx/organizacion/tesoreria" TargetMode="External"/><Relationship Id="rId578" Type="http://schemas.openxmlformats.org/officeDocument/2006/relationships/hyperlink" Target="https://uacm.edu.mx/organizacion/tesoreria" TargetMode="External"/><Relationship Id="rId785" Type="http://schemas.openxmlformats.org/officeDocument/2006/relationships/hyperlink" Target="https://uacm.edu.mx/organizacion/tesoreria" TargetMode="External"/><Relationship Id="rId992" Type="http://schemas.openxmlformats.org/officeDocument/2006/relationships/hyperlink" Target="https://uacm.edu.mx/organizacion/tesoreria" TargetMode="External"/><Relationship Id="rId200" Type="http://schemas.openxmlformats.org/officeDocument/2006/relationships/hyperlink" Target="https://uacm.edu.mx/organizacion/tesoreria" TargetMode="External"/><Relationship Id="rId438" Type="http://schemas.openxmlformats.org/officeDocument/2006/relationships/hyperlink" Target="https://uacm.edu.mx/organizacion/tesoreria" TargetMode="External"/><Relationship Id="rId645" Type="http://schemas.openxmlformats.org/officeDocument/2006/relationships/hyperlink" Target="https://uacm.edu.mx/organizacion/tesoreria" TargetMode="External"/><Relationship Id="rId852" Type="http://schemas.openxmlformats.org/officeDocument/2006/relationships/hyperlink" Target="https://uacm.edu.mx/organizacion/tesoreria" TargetMode="External"/><Relationship Id="rId1068" Type="http://schemas.openxmlformats.org/officeDocument/2006/relationships/hyperlink" Target="https://uacm.edu.mx/organizacion/tesoreria" TargetMode="External"/><Relationship Id="rId1275" Type="http://schemas.openxmlformats.org/officeDocument/2006/relationships/hyperlink" Target="https://uacm.edu.mx/organizacion/tesoreria" TargetMode="External"/><Relationship Id="rId1482" Type="http://schemas.openxmlformats.org/officeDocument/2006/relationships/hyperlink" Target="https://uacm.edu.mx/organizacion/tesoreria" TargetMode="External"/><Relationship Id="rId505" Type="http://schemas.openxmlformats.org/officeDocument/2006/relationships/hyperlink" Target="https://uacm.edu.mx/organizacion/tesoreria" TargetMode="External"/><Relationship Id="rId712" Type="http://schemas.openxmlformats.org/officeDocument/2006/relationships/hyperlink" Target="https://uacm.edu.mx/organizacion/tesoreria" TargetMode="External"/><Relationship Id="rId1135" Type="http://schemas.openxmlformats.org/officeDocument/2006/relationships/hyperlink" Target="https://uacm.edu.mx/organizacion/tesoreria" TargetMode="External"/><Relationship Id="rId1342" Type="http://schemas.openxmlformats.org/officeDocument/2006/relationships/hyperlink" Target="https://uacm.edu.mx/organizacion/tesoreria" TargetMode="External"/><Relationship Id="rId79" Type="http://schemas.openxmlformats.org/officeDocument/2006/relationships/hyperlink" Target="https://uacm.edu.mx/organizacion/tesoreria" TargetMode="External"/><Relationship Id="rId1202" Type="http://schemas.openxmlformats.org/officeDocument/2006/relationships/hyperlink" Target="https://uacm.edu.mx/organizacion/tesoreria" TargetMode="External"/><Relationship Id="rId1507" Type="http://schemas.openxmlformats.org/officeDocument/2006/relationships/hyperlink" Target="https://uacm.edu.mx/organizacion/tesoreria" TargetMode="External"/><Relationship Id="rId295" Type="http://schemas.openxmlformats.org/officeDocument/2006/relationships/hyperlink" Target="https://uacm.edu.mx/organizacion/tesoreria" TargetMode="External"/><Relationship Id="rId155" Type="http://schemas.openxmlformats.org/officeDocument/2006/relationships/hyperlink" Target="https://uacm.edu.mx/organizacion/tesoreria" TargetMode="External"/><Relationship Id="rId362" Type="http://schemas.openxmlformats.org/officeDocument/2006/relationships/hyperlink" Target="https://uacm.edu.mx/organizacion/tesoreria" TargetMode="External"/><Relationship Id="rId1297" Type="http://schemas.openxmlformats.org/officeDocument/2006/relationships/hyperlink" Target="https://uacm.edu.mx/organizacion/tesoreria" TargetMode="External"/><Relationship Id="rId222" Type="http://schemas.openxmlformats.org/officeDocument/2006/relationships/hyperlink" Target="https://uacm.edu.mx/organizacion/tesoreria" TargetMode="External"/><Relationship Id="rId667" Type="http://schemas.openxmlformats.org/officeDocument/2006/relationships/hyperlink" Target="https://uacm.edu.mx/organizacion/tesoreria" TargetMode="External"/><Relationship Id="rId874" Type="http://schemas.openxmlformats.org/officeDocument/2006/relationships/hyperlink" Target="https://uacm.edu.mx/organizacion/tesoreria" TargetMode="External"/><Relationship Id="rId527" Type="http://schemas.openxmlformats.org/officeDocument/2006/relationships/hyperlink" Target="https://uacm.edu.mx/organizacion/tesoreria" TargetMode="External"/><Relationship Id="rId734" Type="http://schemas.openxmlformats.org/officeDocument/2006/relationships/hyperlink" Target="https://uacm.edu.mx/organizacion/tesoreria" TargetMode="External"/><Relationship Id="rId941" Type="http://schemas.openxmlformats.org/officeDocument/2006/relationships/hyperlink" Target="https://uacm.edu.mx/organizacion/tesoreria" TargetMode="External"/><Relationship Id="rId1157" Type="http://schemas.openxmlformats.org/officeDocument/2006/relationships/hyperlink" Target="https://uacm.edu.mx/organizacion/tesoreria" TargetMode="External"/><Relationship Id="rId1364" Type="http://schemas.openxmlformats.org/officeDocument/2006/relationships/hyperlink" Target="https://uacm.edu.mx/organizacion/tesoreria" TargetMode="External"/><Relationship Id="rId70" Type="http://schemas.openxmlformats.org/officeDocument/2006/relationships/hyperlink" Target="https://uacm.edu.mx/organizacion/tesoreria" TargetMode="External"/><Relationship Id="rId801" Type="http://schemas.openxmlformats.org/officeDocument/2006/relationships/hyperlink" Target="https://uacm.edu.mx/organizacion/tesoreria" TargetMode="External"/><Relationship Id="rId1017" Type="http://schemas.openxmlformats.org/officeDocument/2006/relationships/hyperlink" Target="https://uacm.edu.mx/organizacion/tesoreria" TargetMode="External"/><Relationship Id="rId1224" Type="http://schemas.openxmlformats.org/officeDocument/2006/relationships/hyperlink" Target="https://uacm.edu.mx/organizacion/tesoreria" TargetMode="External"/><Relationship Id="rId1431" Type="http://schemas.openxmlformats.org/officeDocument/2006/relationships/hyperlink" Target="https://uacm.edu.mx/organizacion/tesoreria" TargetMode="External"/><Relationship Id="rId1529" Type="http://schemas.openxmlformats.org/officeDocument/2006/relationships/hyperlink" Target="https://uacm.edu.mx/organizacion/tesoreria" TargetMode="External"/><Relationship Id="rId28" Type="http://schemas.openxmlformats.org/officeDocument/2006/relationships/hyperlink" Target="https://uacm.edu.mx/organizacion/tesoreria" TargetMode="External"/><Relationship Id="rId177" Type="http://schemas.openxmlformats.org/officeDocument/2006/relationships/hyperlink" Target="https://uacm.edu.mx/organizacion/tesoreria" TargetMode="External"/><Relationship Id="rId384" Type="http://schemas.openxmlformats.org/officeDocument/2006/relationships/hyperlink" Target="https://uacm.edu.mx/organizacion/tesoreria" TargetMode="External"/><Relationship Id="rId591" Type="http://schemas.openxmlformats.org/officeDocument/2006/relationships/hyperlink" Target="https://uacm.edu.mx/organizacion/tesoreria" TargetMode="External"/><Relationship Id="rId244" Type="http://schemas.openxmlformats.org/officeDocument/2006/relationships/hyperlink" Target="https://uacm.edu.mx/organizacion/tesoreria" TargetMode="External"/><Relationship Id="rId689" Type="http://schemas.openxmlformats.org/officeDocument/2006/relationships/hyperlink" Target="https://uacm.edu.mx/organizacion/tesoreria" TargetMode="External"/><Relationship Id="rId896" Type="http://schemas.openxmlformats.org/officeDocument/2006/relationships/hyperlink" Target="https://uacm.edu.mx/organizacion/tesoreria" TargetMode="External"/><Relationship Id="rId1081" Type="http://schemas.openxmlformats.org/officeDocument/2006/relationships/hyperlink" Target="https://uacm.edu.mx/organizacion/tesoreria" TargetMode="External"/><Relationship Id="rId451" Type="http://schemas.openxmlformats.org/officeDocument/2006/relationships/hyperlink" Target="https://uacm.edu.mx/organizacion/tesoreria" TargetMode="External"/><Relationship Id="rId549" Type="http://schemas.openxmlformats.org/officeDocument/2006/relationships/hyperlink" Target="https://uacm.edu.mx/organizacion/tesoreria" TargetMode="External"/><Relationship Id="rId756" Type="http://schemas.openxmlformats.org/officeDocument/2006/relationships/hyperlink" Target="https://uacm.edu.mx/organizacion/tesoreria" TargetMode="External"/><Relationship Id="rId1179" Type="http://schemas.openxmlformats.org/officeDocument/2006/relationships/hyperlink" Target="https://uacm.edu.mx/organizacion/tesoreria" TargetMode="External"/><Relationship Id="rId1386" Type="http://schemas.openxmlformats.org/officeDocument/2006/relationships/hyperlink" Target="https://uacm.edu.mx/organizacion/tesoreria" TargetMode="External"/><Relationship Id="rId104" Type="http://schemas.openxmlformats.org/officeDocument/2006/relationships/hyperlink" Target="https://uacm.edu.mx/organizacion/tesoreria" TargetMode="External"/><Relationship Id="rId311" Type="http://schemas.openxmlformats.org/officeDocument/2006/relationships/hyperlink" Target="https://uacm.edu.mx/organizacion/tesoreria" TargetMode="External"/><Relationship Id="rId409" Type="http://schemas.openxmlformats.org/officeDocument/2006/relationships/hyperlink" Target="https://uacm.edu.mx/organizacion/tesoreria" TargetMode="External"/><Relationship Id="rId963" Type="http://schemas.openxmlformats.org/officeDocument/2006/relationships/hyperlink" Target="https://uacm.edu.mx/organizacion/tesoreria" TargetMode="External"/><Relationship Id="rId1039" Type="http://schemas.openxmlformats.org/officeDocument/2006/relationships/hyperlink" Target="https://uacm.edu.mx/organizacion/tesoreria" TargetMode="External"/><Relationship Id="rId1246" Type="http://schemas.openxmlformats.org/officeDocument/2006/relationships/hyperlink" Target="https://uacm.edu.mx/organizacion/tesoreria" TargetMode="External"/><Relationship Id="rId92" Type="http://schemas.openxmlformats.org/officeDocument/2006/relationships/hyperlink" Target="https://uacm.edu.mx/organizacion/tesoreria" TargetMode="External"/><Relationship Id="rId616" Type="http://schemas.openxmlformats.org/officeDocument/2006/relationships/hyperlink" Target="https://uacm.edu.mx/organizacion/tesoreria" TargetMode="External"/><Relationship Id="rId823" Type="http://schemas.openxmlformats.org/officeDocument/2006/relationships/hyperlink" Target="https://uacm.edu.mx/organizacion/tesoreria" TargetMode="External"/><Relationship Id="rId1453" Type="http://schemas.openxmlformats.org/officeDocument/2006/relationships/hyperlink" Target="https://uacm.edu.mx/organizacion/tesoreria" TargetMode="External"/><Relationship Id="rId1106" Type="http://schemas.openxmlformats.org/officeDocument/2006/relationships/hyperlink" Target="https://uacm.edu.mx/organizacion/tesoreria" TargetMode="External"/><Relationship Id="rId1313" Type="http://schemas.openxmlformats.org/officeDocument/2006/relationships/hyperlink" Target="https://uacm.edu.mx/organizacion/tesoreria" TargetMode="External"/><Relationship Id="rId1520" Type="http://schemas.openxmlformats.org/officeDocument/2006/relationships/hyperlink" Target="https://uacm.edu.mx/organizacion/tesoreria" TargetMode="External"/><Relationship Id="rId199" Type="http://schemas.openxmlformats.org/officeDocument/2006/relationships/hyperlink" Target="https://uacm.edu.mx/organizacion/tesoreria" TargetMode="External"/><Relationship Id="rId266" Type="http://schemas.openxmlformats.org/officeDocument/2006/relationships/hyperlink" Target="https://uacm.edu.mx/organizacion/tesoreria" TargetMode="External"/><Relationship Id="rId473" Type="http://schemas.openxmlformats.org/officeDocument/2006/relationships/hyperlink" Target="https://uacm.edu.mx/organizacion/tesoreria" TargetMode="External"/><Relationship Id="rId680" Type="http://schemas.openxmlformats.org/officeDocument/2006/relationships/hyperlink" Target="https://uacm.edu.mx/organizacion/tesoreria" TargetMode="External"/><Relationship Id="rId126" Type="http://schemas.openxmlformats.org/officeDocument/2006/relationships/hyperlink" Target="https://uacm.edu.mx/organizacion/tesoreria" TargetMode="External"/><Relationship Id="rId333" Type="http://schemas.openxmlformats.org/officeDocument/2006/relationships/hyperlink" Target="https://uacm.edu.mx/organizacion/tesoreria" TargetMode="External"/><Relationship Id="rId540" Type="http://schemas.openxmlformats.org/officeDocument/2006/relationships/hyperlink" Target="https://uacm.edu.mx/organizacion/tesoreria" TargetMode="External"/><Relationship Id="rId778" Type="http://schemas.openxmlformats.org/officeDocument/2006/relationships/hyperlink" Target="https://uacm.edu.mx/organizacion/tesoreria" TargetMode="External"/><Relationship Id="rId985" Type="http://schemas.openxmlformats.org/officeDocument/2006/relationships/hyperlink" Target="https://uacm.edu.mx/organizacion/tesoreria" TargetMode="External"/><Relationship Id="rId1170" Type="http://schemas.openxmlformats.org/officeDocument/2006/relationships/hyperlink" Target="https://uacm.edu.mx/organizacion/tesoreria" TargetMode="External"/><Relationship Id="rId638" Type="http://schemas.openxmlformats.org/officeDocument/2006/relationships/hyperlink" Target="https://uacm.edu.mx/organizacion/tesoreria" TargetMode="External"/><Relationship Id="rId845" Type="http://schemas.openxmlformats.org/officeDocument/2006/relationships/hyperlink" Target="https://uacm.edu.mx/organizacion/tesoreria" TargetMode="External"/><Relationship Id="rId1030" Type="http://schemas.openxmlformats.org/officeDocument/2006/relationships/hyperlink" Target="https://uacm.edu.mx/organizacion/tesoreria" TargetMode="External"/><Relationship Id="rId1268" Type="http://schemas.openxmlformats.org/officeDocument/2006/relationships/hyperlink" Target="https://uacm.edu.mx/organizacion/tesoreria" TargetMode="External"/><Relationship Id="rId1475" Type="http://schemas.openxmlformats.org/officeDocument/2006/relationships/hyperlink" Target="https://uacm.edu.mx/organizacion/tesoreria" TargetMode="External"/><Relationship Id="rId400" Type="http://schemas.openxmlformats.org/officeDocument/2006/relationships/hyperlink" Target="https://uacm.edu.mx/organizacion/tesoreria" TargetMode="External"/><Relationship Id="rId705" Type="http://schemas.openxmlformats.org/officeDocument/2006/relationships/hyperlink" Target="https://uacm.edu.mx/organizacion/tesoreria" TargetMode="External"/><Relationship Id="rId1128" Type="http://schemas.openxmlformats.org/officeDocument/2006/relationships/hyperlink" Target="https://uacm.edu.mx/organizacion/tesoreria" TargetMode="External"/><Relationship Id="rId1335" Type="http://schemas.openxmlformats.org/officeDocument/2006/relationships/hyperlink" Target="https://uacm.edu.mx/organizacion/tesoreria" TargetMode="External"/><Relationship Id="rId1542" Type="http://schemas.openxmlformats.org/officeDocument/2006/relationships/hyperlink" Target="https://uacm.edu.mx/organizacion/tesoreria" TargetMode="External"/><Relationship Id="rId912" Type="http://schemas.openxmlformats.org/officeDocument/2006/relationships/hyperlink" Target="https://uacm.edu.mx/organizacion/tesoreria" TargetMode="External"/><Relationship Id="rId41" Type="http://schemas.openxmlformats.org/officeDocument/2006/relationships/hyperlink" Target="https://uacm.edu.mx/organizacion/tesoreria" TargetMode="External"/><Relationship Id="rId1402" Type="http://schemas.openxmlformats.org/officeDocument/2006/relationships/hyperlink" Target="https://uacm.edu.mx/organizacion/tesoreria" TargetMode="External"/><Relationship Id="rId190" Type="http://schemas.openxmlformats.org/officeDocument/2006/relationships/hyperlink" Target="https://uacm.edu.mx/organizacion/tesoreria" TargetMode="External"/><Relationship Id="rId288" Type="http://schemas.openxmlformats.org/officeDocument/2006/relationships/hyperlink" Target="https://uacm.edu.mx/organizacion/tesoreria" TargetMode="External"/><Relationship Id="rId495" Type="http://schemas.openxmlformats.org/officeDocument/2006/relationships/hyperlink" Target="https://uacm.edu.mx/organizacion/tesoreria" TargetMode="External"/><Relationship Id="rId148" Type="http://schemas.openxmlformats.org/officeDocument/2006/relationships/hyperlink" Target="https://uacm.edu.mx/organizacion/tesoreria" TargetMode="External"/><Relationship Id="rId355" Type="http://schemas.openxmlformats.org/officeDocument/2006/relationships/hyperlink" Target="https://uacm.edu.mx/organizacion/tesoreria" TargetMode="External"/><Relationship Id="rId562" Type="http://schemas.openxmlformats.org/officeDocument/2006/relationships/hyperlink" Target="https://uacm.edu.mx/organizacion/tesoreria" TargetMode="External"/><Relationship Id="rId1192" Type="http://schemas.openxmlformats.org/officeDocument/2006/relationships/hyperlink" Target="https://uacm.edu.mx/organizacion/tesoreria" TargetMode="External"/><Relationship Id="rId215" Type="http://schemas.openxmlformats.org/officeDocument/2006/relationships/hyperlink" Target="https://uacm.edu.mx/organizacion/tesoreria" TargetMode="External"/><Relationship Id="rId422" Type="http://schemas.openxmlformats.org/officeDocument/2006/relationships/hyperlink" Target="https://uacm.edu.mx/organizacion/tesoreria" TargetMode="External"/><Relationship Id="rId867" Type="http://schemas.openxmlformats.org/officeDocument/2006/relationships/hyperlink" Target="https://uacm.edu.mx/organizacion/tesoreria" TargetMode="External"/><Relationship Id="rId1052" Type="http://schemas.openxmlformats.org/officeDocument/2006/relationships/hyperlink" Target="https://uacm.edu.mx/organizacion/tesoreria" TargetMode="External"/><Relationship Id="rId1497" Type="http://schemas.openxmlformats.org/officeDocument/2006/relationships/hyperlink" Target="https://uacm.edu.mx/organizacion/tesoreria" TargetMode="External"/><Relationship Id="rId727" Type="http://schemas.openxmlformats.org/officeDocument/2006/relationships/hyperlink" Target="https://uacm.edu.mx/organizacion/tesoreria" TargetMode="External"/><Relationship Id="rId934" Type="http://schemas.openxmlformats.org/officeDocument/2006/relationships/hyperlink" Target="https://uacm.edu.mx/organizacion/tesoreria" TargetMode="External"/><Relationship Id="rId1357" Type="http://schemas.openxmlformats.org/officeDocument/2006/relationships/hyperlink" Target="https://uacm.edu.mx/organizacion/tesoreria" TargetMode="External"/><Relationship Id="rId63" Type="http://schemas.openxmlformats.org/officeDocument/2006/relationships/hyperlink" Target="https://uacm.edu.mx/organizacion/tesoreria" TargetMode="External"/><Relationship Id="rId1217" Type="http://schemas.openxmlformats.org/officeDocument/2006/relationships/hyperlink" Target="https://uacm.edu.mx/organizacion/tesoreria" TargetMode="External"/><Relationship Id="rId1424" Type="http://schemas.openxmlformats.org/officeDocument/2006/relationships/hyperlink" Target="https://uacm.edu.mx/organizacion/tesoreria" TargetMode="External"/><Relationship Id="rId74" Type="http://schemas.openxmlformats.org/officeDocument/2006/relationships/hyperlink" Target="https://uacm.edu.mx/organizacion/tesoreria" TargetMode="External"/><Relationship Id="rId377" Type="http://schemas.openxmlformats.org/officeDocument/2006/relationships/hyperlink" Target="https://uacm.edu.mx/organizacion/tesoreria" TargetMode="External"/><Relationship Id="rId500" Type="http://schemas.openxmlformats.org/officeDocument/2006/relationships/hyperlink" Target="https://uacm.edu.mx/organizacion/tesoreria" TargetMode="External"/><Relationship Id="rId584" Type="http://schemas.openxmlformats.org/officeDocument/2006/relationships/hyperlink" Target="https://uacm.edu.mx/organizacion/tesoreria" TargetMode="External"/><Relationship Id="rId805" Type="http://schemas.openxmlformats.org/officeDocument/2006/relationships/hyperlink" Target="https://uacm.edu.mx/organizacion/tesoreria" TargetMode="External"/><Relationship Id="rId1130" Type="http://schemas.openxmlformats.org/officeDocument/2006/relationships/hyperlink" Target="https://uacm.edu.mx/organizacion/tesoreria" TargetMode="External"/><Relationship Id="rId1228" Type="http://schemas.openxmlformats.org/officeDocument/2006/relationships/hyperlink" Target="https://uacm.edu.mx/organizacion/tesoreria" TargetMode="External"/><Relationship Id="rId1435" Type="http://schemas.openxmlformats.org/officeDocument/2006/relationships/hyperlink" Target="https://uacm.edu.mx/organizacion/tesoreria" TargetMode="External"/><Relationship Id="rId5" Type="http://schemas.openxmlformats.org/officeDocument/2006/relationships/hyperlink" Target="https://uacm.edu.mx/organizacion/tesoreria" TargetMode="External"/><Relationship Id="rId237" Type="http://schemas.openxmlformats.org/officeDocument/2006/relationships/hyperlink" Target="https://uacm.edu.mx/organizacion/tesoreria" TargetMode="External"/><Relationship Id="rId791" Type="http://schemas.openxmlformats.org/officeDocument/2006/relationships/hyperlink" Target="https://uacm.edu.mx/organizacion/tesoreria" TargetMode="External"/><Relationship Id="rId889" Type="http://schemas.openxmlformats.org/officeDocument/2006/relationships/hyperlink" Target="https://uacm.edu.mx/organizacion/tesoreria" TargetMode="External"/><Relationship Id="rId1074" Type="http://schemas.openxmlformats.org/officeDocument/2006/relationships/hyperlink" Target="https://uacm.edu.mx/organizacion/tesoreria" TargetMode="External"/><Relationship Id="rId444" Type="http://schemas.openxmlformats.org/officeDocument/2006/relationships/hyperlink" Target="https://uacm.edu.mx/organizacion/tesoreria" TargetMode="External"/><Relationship Id="rId651" Type="http://schemas.openxmlformats.org/officeDocument/2006/relationships/hyperlink" Target="https://uacm.edu.mx/organizacion/tesoreria" TargetMode="External"/><Relationship Id="rId749" Type="http://schemas.openxmlformats.org/officeDocument/2006/relationships/hyperlink" Target="https://uacm.edu.mx/organizacion/tesoreria" TargetMode="External"/><Relationship Id="rId1281" Type="http://schemas.openxmlformats.org/officeDocument/2006/relationships/hyperlink" Target="https://uacm.edu.mx/organizacion/tesoreria" TargetMode="External"/><Relationship Id="rId1379" Type="http://schemas.openxmlformats.org/officeDocument/2006/relationships/hyperlink" Target="https://uacm.edu.mx/organizacion/tesoreria" TargetMode="External"/><Relationship Id="rId1502" Type="http://schemas.openxmlformats.org/officeDocument/2006/relationships/hyperlink" Target="https://uacm.edu.mx/organizacion/tesoreria" TargetMode="External"/><Relationship Id="rId290" Type="http://schemas.openxmlformats.org/officeDocument/2006/relationships/hyperlink" Target="https://uacm.edu.mx/organizacion/tesoreria" TargetMode="External"/><Relationship Id="rId304" Type="http://schemas.openxmlformats.org/officeDocument/2006/relationships/hyperlink" Target="https://uacm.edu.mx/organizacion/tesoreria" TargetMode="External"/><Relationship Id="rId388" Type="http://schemas.openxmlformats.org/officeDocument/2006/relationships/hyperlink" Target="https://uacm.edu.mx/organizacion/tesoreria" TargetMode="External"/><Relationship Id="rId511" Type="http://schemas.openxmlformats.org/officeDocument/2006/relationships/hyperlink" Target="https://uacm.edu.mx/organizacion/tesoreria" TargetMode="External"/><Relationship Id="rId609" Type="http://schemas.openxmlformats.org/officeDocument/2006/relationships/hyperlink" Target="https://uacm.edu.mx/organizacion/tesoreria" TargetMode="External"/><Relationship Id="rId956" Type="http://schemas.openxmlformats.org/officeDocument/2006/relationships/hyperlink" Target="https://uacm.edu.mx/organizacion/tesoreria" TargetMode="External"/><Relationship Id="rId1141" Type="http://schemas.openxmlformats.org/officeDocument/2006/relationships/hyperlink" Target="https://uacm.edu.mx/organizacion/tesoreria" TargetMode="External"/><Relationship Id="rId1239" Type="http://schemas.openxmlformats.org/officeDocument/2006/relationships/hyperlink" Target="https://uacm.edu.mx/organizacion/tesoreria" TargetMode="External"/><Relationship Id="rId85" Type="http://schemas.openxmlformats.org/officeDocument/2006/relationships/hyperlink" Target="https://uacm.edu.mx/organizacion/tesoreria" TargetMode="External"/><Relationship Id="rId150" Type="http://schemas.openxmlformats.org/officeDocument/2006/relationships/hyperlink" Target="https://uacm.edu.mx/organizacion/tesoreria" TargetMode="External"/><Relationship Id="rId595" Type="http://schemas.openxmlformats.org/officeDocument/2006/relationships/hyperlink" Target="https://uacm.edu.mx/organizacion/tesoreria" TargetMode="External"/><Relationship Id="rId816" Type="http://schemas.openxmlformats.org/officeDocument/2006/relationships/hyperlink" Target="https://uacm.edu.mx/organizacion/tesoreria" TargetMode="External"/><Relationship Id="rId1001" Type="http://schemas.openxmlformats.org/officeDocument/2006/relationships/hyperlink" Target="https://uacm.edu.mx/organizacion/tesoreria" TargetMode="External"/><Relationship Id="rId1446" Type="http://schemas.openxmlformats.org/officeDocument/2006/relationships/hyperlink" Target="https://uacm.edu.mx/organizacion/tesoreria" TargetMode="External"/><Relationship Id="rId248" Type="http://schemas.openxmlformats.org/officeDocument/2006/relationships/hyperlink" Target="https://uacm.edu.mx/organizacion/tesoreria" TargetMode="External"/><Relationship Id="rId455" Type="http://schemas.openxmlformats.org/officeDocument/2006/relationships/hyperlink" Target="https://uacm.edu.mx/organizacion/tesoreria" TargetMode="External"/><Relationship Id="rId662" Type="http://schemas.openxmlformats.org/officeDocument/2006/relationships/hyperlink" Target="https://uacm.edu.mx/organizacion/tesoreria" TargetMode="External"/><Relationship Id="rId1085" Type="http://schemas.openxmlformats.org/officeDocument/2006/relationships/hyperlink" Target="https://uacm.edu.mx/organizacion/tesoreria" TargetMode="External"/><Relationship Id="rId1292" Type="http://schemas.openxmlformats.org/officeDocument/2006/relationships/hyperlink" Target="https://uacm.edu.mx/organizacion/tesoreria" TargetMode="External"/><Relationship Id="rId1306" Type="http://schemas.openxmlformats.org/officeDocument/2006/relationships/hyperlink" Target="https://uacm.edu.mx/organizacion/tesoreria" TargetMode="External"/><Relationship Id="rId1513" Type="http://schemas.openxmlformats.org/officeDocument/2006/relationships/hyperlink" Target="https://uacm.edu.mx/organizacion/tesoreria" TargetMode="External"/><Relationship Id="rId12" Type="http://schemas.openxmlformats.org/officeDocument/2006/relationships/hyperlink" Target="https://uacm.edu.mx/organizacion/tesoreria" TargetMode="External"/><Relationship Id="rId108" Type="http://schemas.openxmlformats.org/officeDocument/2006/relationships/hyperlink" Target="https://uacm.edu.mx/organizacion/tesoreria" TargetMode="External"/><Relationship Id="rId315" Type="http://schemas.openxmlformats.org/officeDocument/2006/relationships/hyperlink" Target="https://uacm.edu.mx/organizacion/tesoreria" TargetMode="External"/><Relationship Id="rId522" Type="http://schemas.openxmlformats.org/officeDocument/2006/relationships/hyperlink" Target="https://uacm.edu.mx/organizacion/tesoreria" TargetMode="External"/><Relationship Id="rId967" Type="http://schemas.openxmlformats.org/officeDocument/2006/relationships/hyperlink" Target="https://uacm.edu.mx/organizacion/tesoreria" TargetMode="External"/><Relationship Id="rId1152" Type="http://schemas.openxmlformats.org/officeDocument/2006/relationships/hyperlink" Target="https://uacm.edu.mx/organizacion/tesoreria" TargetMode="External"/><Relationship Id="rId96" Type="http://schemas.openxmlformats.org/officeDocument/2006/relationships/hyperlink" Target="https://uacm.edu.mx/organizacion/tesoreria" TargetMode="External"/><Relationship Id="rId161" Type="http://schemas.openxmlformats.org/officeDocument/2006/relationships/hyperlink" Target="https://uacm.edu.mx/organizacion/tesoreria" TargetMode="External"/><Relationship Id="rId399" Type="http://schemas.openxmlformats.org/officeDocument/2006/relationships/hyperlink" Target="https://uacm.edu.mx/organizacion/tesoreria" TargetMode="External"/><Relationship Id="rId827" Type="http://schemas.openxmlformats.org/officeDocument/2006/relationships/hyperlink" Target="https://uacm.edu.mx/organizacion/tesoreria" TargetMode="External"/><Relationship Id="rId1012" Type="http://schemas.openxmlformats.org/officeDocument/2006/relationships/hyperlink" Target="https://uacm.edu.mx/organizacion/tesoreria" TargetMode="External"/><Relationship Id="rId1457" Type="http://schemas.openxmlformats.org/officeDocument/2006/relationships/hyperlink" Target="https://uacm.edu.mx/organizacion/tesoreria" TargetMode="External"/><Relationship Id="rId259" Type="http://schemas.openxmlformats.org/officeDocument/2006/relationships/hyperlink" Target="https://uacm.edu.mx/organizacion/tesoreria" TargetMode="External"/><Relationship Id="rId466" Type="http://schemas.openxmlformats.org/officeDocument/2006/relationships/hyperlink" Target="https://uacm.edu.mx/organizacion/tesoreria" TargetMode="External"/><Relationship Id="rId673" Type="http://schemas.openxmlformats.org/officeDocument/2006/relationships/hyperlink" Target="https://uacm.edu.mx/organizacion/tesoreria" TargetMode="External"/><Relationship Id="rId880" Type="http://schemas.openxmlformats.org/officeDocument/2006/relationships/hyperlink" Target="https://uacm.edu.mx/organizacion/tesoreria" TargetMode="External"/><Relationship Id="rId1096" Type="http://schemas.openxmlformats.org/officeDocument/2006/relationships/hyperlink" Target="https://uacm.edu.mx/organizacion/tesoreria" TargetMode="External"/><Relationship Id="rId1317" Type="http://schemas.openxmlformats.org/officeDocument/2006/relationships/hyperlink" Target="https://uacm.edu.mx/organizacion/tesoreria" TargetMode="External"/><Relationship Id="rId1524" Type="http://schemas.openxmlformats.org/officeDocument/2006/relationships/hyperlink" Target="https://uacm.edu.mx/organizacion/tesoreria" TargetMode="External"/><Relationship Id="rId23" Type="http://schemas.openxmlformats.org/officeDocument/2006/relationships/hyperlink" Target="https://uacm.edu.mx/organizacion/tesoreria" TargetMode="External"/><Relationship Id="rId119" Type="http://schemas.openxmlformats.org/officeDocument/2006/relationships/hyperlink" Target="https://uacm.edu.mx/organizacion/tesoreria" TargetMode="External"/><Relationship Id="rId326" Type="http://schemas.openxmlformats.org/officeDocument/2006/relationships/hyperlink" Target="https://uacm.edu.mx/organizacion/tesoreria" TargetMode="External"/><Relationship Id="rId533" Type="http://schemas.openxmlformats.org/officeDocument/2006/relationships/hyperlink" Target="https://uacm.edu.mx/organizacion/tesoreria" TargetMode="External"/><Relationship Id="rId978" Type="http://schemas.openxmlformats.org/officeDocument/2006/relationships/hyperlink" Target="https://uacm.edu.mx/organizacion/tesoreria" TargetMode="External"/><Relationship Id="rId1163" Type="http://schemas.openxmlformats.org/officeDocument/2006/relationships/hyperlink" Target="https://uacm.edu.mx/organizacion/tesoreria" TargetMode="External"/><Relationship Id="rId1370" Type="http://schemas.openxmlformats.org/officeDocument/2006/relationships/hyperlink" Target="https://uacm.edu.mx/organizacion/tesoreria" TargetMode="External"/><Relationship Id="rId740" Type="http://schemas.openxmlformats.org/officeDocument/2006/relationships/hyperlink" Target="https://uacm.edu.mx/organizacion/tesoreria" TargetMode="External"/><Relationship Id="rId838" Type="http://schemas.openxmlformats.org/officeDocument/2006/relationships/hyperlink" Target="https://uacm.edu.mx/organizacion/tesoreria" TargetMode="External"/><Relationship Id="rId1023" Type="http://schemas.openxmlformats.org/officeDocument/2006/relationships/hyperlink" Target="https://uacm.edu.mx/organizacion/tesoreria" TargetMode="External"/><Relationship Id="rId1468" Type="http://schemas.openxmlformats.org/officeDocument/2006/relationships/hyperlink" Target="https://uacm.edu.mx/organizacion/tesoreria" TargetMode="External"/><Relationship Id="rId172" Type="http://schemas.openxmlformats.org/officeDocument/2006/relationships/hyperlink" Target="https://uacm.edu.mx/organizacion/tesoreria" TargetMode="External"/><Relationship Id="rId477" Type="http://schemas.openxmlformats.org/officeDocument/2006/relationships/hyperlink" Target="https://uacm.edu.mx/organizacion/tesoreria" TargetMode="External"/><Relationship Id="rId600" Type="http://schemas.openxmlformats.org/officeDocument/2006/relationships/hyperlink" Target="https://uacm.edu.mx/organizacion/tesoreria" TargetMode="External"/><Relationship Id="rId684" Type="http://schemas.openxmlformats.org/officeDocument/2006/relationships/hyperlink" Target="https://uacm.edu.mx/organizacion/tesoreria" TargetMode="External"/><Relationship Id="rId1230" Type="http://schemas.openxmlformats.org/officeDocument/2006/relationships/hyperlink" Target="https://uacm.edu.mx/organizacion/tesoreria" TargetMode="External"/><Relationship Id="rId1328" Type="http://schemas.openxmlformats.org/officeDocument/2006/relationships/hyperlink" Target="https://uacm.edu.mx/organizacion/tesoreria" TargetMode="External"/><Relationship Id="rId1535" Type="http://schemas.openxmlformats.org/officeDocument/2006/relationships/hyperlink" Target="https://uacm.edu.mx/organizacion/tesoreria" TargetMode="External"/><Relationship Id="rId337" Type="http://schemas.openxmlformats.org/officeDocument/2006/relationships/hyperlink" Target="https://uacm.edu.mx/organizacion/tesoreria" TargetMode="External"/><Relationship Id="rId891" Type="http://schemas.openxmlformats.org/officeDocument/2006/relationships/hyperlink" Target="https://uacm.edu.mx/organizacion/tesoreria" TargetMode="External"/><Relationship Id="rId905" Type="http://schemas.openxmlformats.org/officeDocument/2006/relationships/hyperlink" Target="https://uacm.edu.mx/organizacion/tesoreria" TargetMode="External"/><Relationship Id="rId989" Type="http://schemas.openxmlformats.org/officeDocument/2006/relationships/hyperlink" Target="https://uacm.edu.mx/organizacion/tesoreria" TargetMode="External"/><Relationship Id="rId34" Type="http://schemas.openxmlformats.org/officeDocument/2006/relationships/hyperlink" Target="https://uacm.edu.mx/organizacion/tesoreria" TargetMode="External"/><Relationship Id="rId544" Type="http://schemas.openxmlformats.org/officeDocument/2006/relationships/hyperlink" Target="https://uacm.edu.mx/organizacion/tesoreria" TargetMode="External"/><Relationship Id="rId751" Type="http://schemas.openxmlformats.org/officeDocument/2006/relationships/hyperlink" Target="https://uacm.edu.mx/organizacion/tesoreria" TargetMode="External"/><Relationship Id="rId849" Type="http://schemas.openxmlformats.org/officeDocument/2006/relationships/hyperlink" Target="https://uacm.edu.mx/organizacion/tesoreria" TargetMode="External"/><Relationship Id="rId1174" Type="http://schemas.openxmlformats.org/officeDocument/2006/relationships/hyperlink" Target="https://uacm.edu.mx/organizacion/tesoreria" TargetMode="External"/><Relationship Id="rId1381" Type="http://schemas.openxmlformats.org/officeDocument/2006/relationships/hyperlink" Target="https://uacm.edu.mx/organizacion/tesoreria" TargetMode="External"/><Relationship Id="rId1479" Type="http://schemas.openxmlformats.org/officeDocument/2006/relationships/hyperlink" Target="https://uacm.edu.mx/organizacion/tesoreria" TargetMode="External"/><Relationship Id="rId183" Type="http://schemas.openxmlformats.org/officeDocument/2006/relationships/hyperlink" Target="https://uacm.edu.mx/organizacion/tesoreria" TargetMode="External"/><Relationship Id="rId390" Type="http://schemas.openxmlformats.org/officeDocument/2006/relationships/hyperlink" Target="https://uacm.edu.mx/organizacion/tesoreria" TargetMode="External"/><Relationship Id="rId404" Type="http://schemas.openxmlformats.org/officeDocument/2006/relationships/hyperlink" Target="https://uacm.edu.mx/organizacion/tesoreria" TargetMode="External"/><Relationship Id="rId611" Type="http://schemas.openxmlformats.org/officeDocument/2006/relationships/hyperlink" Target="https://uacm.edu.mx/organizacion/tesoreria" TargetMode="External"/><Relationship Id="rId1034" Type="http://schemas.openxmlformats.org/officeDocument/2006/relationships/hyperlink" Target="https://uacm.edu.mx/organizacion/tesoreria" TargetMode="External"/><Relationship Id="rId1241" Type="http://schemas.openxmlformats.org/officeDocument/2006/relationships/hyperlink" Target="https://uacm.edu.mx/organizacion/tesoreria" TargetMode="External"/><Relationship Id="rId1339" Type="http://schemas.openxmlformats.org/officeDocument/2006/relationships/hyperlink" Target="https://uacm.edu.mx/organizacion/tesoreria" TargetMode="External"/><Relationship Id="rId250" Type="http://schemas.openxmlformats.org/officeDocument/2006/relationships/hyperlink" Target="https://uacm.edu.mx/organizacion/tesoreria" TargetMode="External"/><Relationship Id="rId488" Type="http://schemas.openxmlformats.org/officeDocument/2006/relationships/hyperlink" Target="https://uacm.edu.mx/organizacion/tesoreria" TargetMode="External"/><Relationship Id="rId695" Type="http://schemas.openxmlformats.org/officeDocument/2006/relationships/hyperlink" Target="https://uacm.edu.mx/organizacion/tesoreria" TargetMode="External"/><Relationship Id="rId709" Type="http://schemas.openxmlformats.org/officeDocument/2006/relationships/hyperlink" Target="https://uacm.edu.mx/organizacion/tesoreria" TargetMode="External"/><Relationship Id="rId916" Type="http://schemas.openxmlformats.org/officeDocument/2006/relationships/hyperlink" Target="https://uacm.edu.mx/organizacion/tesoreria" TargetMode="External"/><Relationship Id="rId1101" Type="http://schemas.openxmlformats.org/officeDocument/2006/relationships/hyperlink" Target="https://uacm.edu.mx/organizacion/tesoreria" TargetMode="External"/><Relationship Id="rId1546" Type="http://schemas.openxmlformats.org/officeDocument/2006/relationships/hyperlink" Target="https://uacm.edu.mx/organizacion/tesoreria" TargetMode="External"/><Relationship Id="rId45" Type="http://schemas.openxmlformats.org/officeDocument/2006/relationships/hyperlink" Target="https://uacm.edu.mx/organizacion/tesoreria" TargetMode="External"/><Relationship Id="rId110" Type="http://schemas.openxmlformats.org/officeDocument/2006/relationships/hyperlink" Target="https://uacm.edu.mx/organizacion/tesoreria" TargetMode="External"/><Relationship Id="rId348" Type="http://schemas.openxmlformats.org/officeDocument/2006/relationships/hyperlink" Target="https://uacm.edu.mx/organizacion/tesoreria" TargetMode="External"/><Relationship Id="rId555" Type="http://schemas.openxmlformats.org/officeDocument/2006/relationships/hyperlink" Target="https://uacm.edu.mx/organizacion/tesoreria" TargetMode="External"/><Relationship Id="rId762" Type="http://schemas.openxmlformats.org/officeDocument/2006/relationships/hyperlink" Target="https://uacm.edu.mx/organizacion/tesoreria" TargetMode="External"/><Relationship Id="rId1185" Type="http://schemas.openxmlformats.org/officeDocument/2006/relationships/hyperlink" Target="https://uacm.edu.mx/organizacion/tesoreria" TargetMode="External"/><Relationship Id="rId1392" Type="http://schemas.openxmlformats.org/officeDocument/2006/relationships/hyperlink" Target="https://uacm.edu.mx/organizacion/tesoreria" TargetMode="External"/><Relationship Id="rId1406" Type="http://schemas.openxmlformats.org/officeDocument/2006/relationships/hyperlink" Target="https://uacm.edu.mx/organizacion/tesoreria" TargetMode="External"/><Relationship Id="rId194" Type="http://schemas.openxmlformats.org/officeDocument/2006/relationships/hyperlink" Target="https://uacm.edu.mx/organizacion/tesoreria" TargetMode="External"/><Relationship Id="rId208" Type="http://schemas.openxmlformats.org/officeDocument/2006/relationships/hyperlink" Target="https://uacm.edu.mx/organizacion/tesoreria" TargetMode="External"/><Relationship Id="rId415" Type="http://schemas.openxmlformats.org/officeDocument/2006/relationships/hyperlink" Target="https://uacm.edu.mx/organizacion/tesoreria" TargetMode="External"/><Relationship Id="rId622" Type="http://schemas.openxmlformats.org/officeDocument/2006/relationships/hyperlink" Target="https://uacm.edu.mx/organizacion/tesoreria" TargetMode="External"/><Relationship Id="rId1045" Type="http://schemas.openxmlformats.org/officeDocument/2006/relationships/hyperlink" Target="https://uacm.edu.mx/organizacion/tesoreria" TargetMode="External"/><Relationship Id="rId1252" Type="http://schemas.openxmlformats.org/officeDocument/2006/relationships/hyperlink" Target="https://uacm.edu.mx/organizacion/tesoreria" TargetMode="External"/><Relationship Id="rId261" Type="http://schemas.openxmlformats.org/officeDocument/2006/relationships/hyperlink" Target="https://uacm.edu.mx/organizacion/tesoreria" TargetMode="External"/><Relationship Id="rId499" Type="http://schemas.openxmlformats.org/officeDocument/2006/relationships/hyperlink" Target="https://uacm.edu.mx/organizacion/tesoreria" TargetMode="External"/><Relationship Id="rId927" Type="http://schemas.openxmlformats.org/officeDocument/2006/relationships/hyperlink" Target="https://uacm.edu.mx/organizacion/tesoreria" TargetMode="External"/><Relationship Id="rId1112" Type="http://schemas.openxmlformats.org/officeDocument/2006/relationships/hyperlink" Target="https://uacm.edu.mx/organizacion/tesoreria" TargetMode="External"/><Relationship Id="rId56" Type="http://schemas.openxmlformats.org/officeDocument/2006/relationships/hyperlink" Target="https://uacm.edu.mx/organizacion/tesoreria" TargetMode="External"/><Relationship Id="rId359" Type="http://schemas.openxmlformats.org/officeDocument/2006/relationships/hyperlink" Target="https://uacm.edu.mx/organizacion/tesoreria" TargetMode="External"/><Relationship Id="rId566" Type="http://schemas.openxmlformats.org/officeDocument/2006/relationships/hyperlink" Target="https://uacm.edu.mx/organizacion/tesoreria" TargetMode="External"/><Relationship Id="rId773" Type="http://schemas.openxmlformats.org/officeDocument/2006/relationships/hyperlink" Target="https://uacm.edu.mx/organizacion/tesoreria" TargetMode="External"/><Relationship Id="rId1196" Type="http://schemas.openxmlformats.org/officeDocument/2006/relationships/hyperlink" Target="https://uacm.edu.mx/organizacion/tesoreria" TargetMode="External"/><Relationship Id="rId1417" Type="http://schemas.openxmlformats.org/officeDocument/2006/relationships/hyperlink" Target="https://uacm.edu.mx/organizacion/tesoreria" TargetMode="External"/><Relationship Id="rId121" Type="http://schemas.openxmlformats.org/officeDocument/2006/relationships/hyperlink" Target="https://uacm.edu.mx/organizacion/tesoreria" TargetMode="External"/><Relationship Id="rId219" Type="http://schemas.openxmlformats.org/officeDocument/2006/relationships/hyperlink" Target="https://uacm.edu.mx/organizacion/tesoreria" TargetMode="External"/><Relationship Id="rId426" Type="http://schemas.openxmlformats.org/officeDocument/2006/relationships/hyperlink" Target="https://uacm.edu.mx/organizacion/tesoreria" TargetMode="External"/><Relationship Id="rId633" Type="http://schemas.openxmlformats.org/officeDocument/2006/relationships/hyperlink" Target="https://uacm.edu.mx/organizacion/tesoreria" TargetMode="External"/><Relationship Id="rId980" Type="http://schemas.openxmlformats.org/officeDocument/2006/relationships/hyperlink" Target="https://uacm.edu.mx/organizacion/tesoreria" TargetMode="External"/><Relationship Id="rId1056" Type="http://schemas.openxmlformats.org/officeDocument/2006/relationships/hyperlink" Target="https://uacm.edu.mx/organizacion/tesoreria" TargetMode="External"/><Relationship Id="rId1263" Type="http://schemas.openxmlformats.org/officeDocument/2006/relationships/hyperlink" Target="https://uacm.edu.mx/organizacion/tesoreria" TargetMode="External"/><Relationship Id="rId840" Type="http://schemas.openxmlformats.org/officeDocument/2006/relationships/hyperlink" Target="https://uacm.edu.mx/organizacion/tesoreria" TargetMode="External"/><Relationship Id="rId938" Type="http://schemas.openxmlformats.org/officeDocument/2006/relationships/hyperlink" Target="https://uacm.edu.mx/organizacion/tesoreria" TargetMode="External"/><Relationship Id="rId1470" Type="http://schemas.openxmlformats.org/officeDocument/2006/relationships/hyperlink" Target="https://uacm.edu.mx/organizacion/tesoreria" TargetMode="External"/><Relationship Id="rId67" Type="http://schemas.openxmlformats.org/officeDocument/2006/relationships/hyperlink" Target="https://uacm.edu.mx/organizacion/tesoreria" TargetMode="External"/><Relationship Id="rId272" Type="http://schemas.openxmlformats.org/officeDocument/2006/relationships/hyperlink" Target="https://uacm.edu.mx/organizacion/tesoreria" TargetMode="External"/><Relationship Id="rId577" Type="http://schemas.openxmlformats.org/officeDocument/2006/relationships/hyperlink" Target="https://uacm.edu.mx/organizacion/tesoreria" TargetMode="External"/><Relationship Id="rId700" Type="http://schemas.openxmlformats.org/officeDocument/2006/relationships/hyperlink" Target="https://uacm.edu.mx/organizacion/tesoreria" TargetMode="External"/><Relationship Id="rId1123" Type="http://schemas.openxmlformats.org/officeDocument/2006/relationships/hyperlink" Target="https://uacm.edu.mx/organizacion/tesoreria" TargetMode="External"/><Relationship Id="rId1330" Type="http://schemas.openxmlformats.org/officeDocument/2006/relationships/hyperlink" Target="https://uacm.edu.mx/organizacion/tesoreria" TargetMode="External"/><Relationship Id="rId1428" Type="http://schemas.openxmlformats.org/officeDocument/2006/relationships/hyperlink" Target="https://uacm.edu.mx/organizacion/tesoreria" TargetMode="External"/><Relationship Id="rId132" Type="http://schemas.openxmlformats.org/officeDocument/2006/relationships/hyperlink" Target="https://uacm.edu.mx/organizacion/tesoreria" TargetMode="External"/><Relationship Id="rId784" Type="http://schemas.openxmlformats.org/officeDocument/2006/relationships/hyperlink" Target="https://uacm.edu.mx/organizacion/tesoreria" TargetMode="External"/><Relationship Id="rId991" Type="http://schemas.openxmlformats.org/officeDocument/2006/relationships/hyperlink" Target="https://uacm.edu.mx/organizacion/tesoreria" TargetMode="External"/><Relationship Id="rId1067" Type="http://schemas.openxmlformats.org/officeDocument/2006/relationships/hyperlink" Target="https://uacm.edu.mx/organizacion/tesoreria" TargetMode="External"/><Relationship Id="rId437" Type="http://schemas.openxmlformats.org/officeDocument/2006/relationships/hyperlink" Target="https://uacm.edu.mx/organizacion/tesoreria" TargetMode="External"/><Relationship Id="rId644" Type="http://schemas.openxmlformats.org/officeDocument/2006/relationships/hyperlink" Target="https://uacm.edu.mx/organizacion/tesoreria" TargetMode="External"/><Relationship Id="rId851" Type="http://schemas.openxmlformats.org/officeDocument/2006/relationships/hyperlink" Target="https://uacm.edu.mx/organizacion/tesoreria" TargetMode="External"/><Relationship Id="rId1274" Type="http://schemas.openxmlformats.org/officeDocument/2006/relationships/hyperlink" Target="https://uacm.edu.mx/organizacion/tesoreria" TargetMode="External"/><Relationship Id="rId1481" Type="http://schemas.openxmlformats.org/officeDocument/2006/relationships/hyperlink" Target="https://uacm.edu.mx/organizacion/tesoreria" TargetMode="External"/><Relationship Id="rId283" Type="http://schemas.openxmlformats.org/officeDocument/2006/relationships/hyperlink" Target="https://uacm.edu.mx/organizacion/tesoreria" TargetMode="External"/><Relationship Id="rId490" Type="http://schemas.openxmlformats.org/officeDocument/2006/relationships/hyperlink" Target="https://uacm.edu.mx/organizacion/tesoreria" TargetMode="External"/><Relationship Id="rId504" Type="http://schemas.openxmlformats.org/officeDocument/2006/relationships/hyperlink" Target="https://uacm.edu.mx/organizacion/tesoreria" TargetMode="External"/><Relationship Id="rId711" Type="http://schemas.openxmlformats.org/officeDocument/2006/relationships/hyperlink" Target="https://uacm.edu.mx/organizacion/tesoreria" TargetMode="External"/><Relationship Id="rId949" Type="http://schemas.openxmlformats.org/officeDocument/2006/relationships/hyperlink" Target="https://uacm.edu.mx/organizacion/tesoreria" TargetMode="External"/><Relationship Id="rId1134" Type="http://schemas.openxmlformats.org/officeDocument/2006/relationships/hyperlink" Target="https://uacm.edu.mx/organizacion/tesoreria" TargetMode="External"/><Relationship Id="rId1341" Type="http://schemas.openxmlformats.org/officeDocument/2006/relationships/hyperlink" Target="https://uacm.edu.mx/organizacion/tesoreria" TargetMode="External"/><Relationship Id="rId78" Type="http://schemas.openxmlformats.org/officeDocument/2006/relationships/hyperlink" Target="https://uacm.edu.mx/organizacion/tesoreria" TargetMode="External"/><Relationship Id="rId143" Type="http://schemas.openxmlformats.org/officeDocument/2006/relationships/hyperlink" Target="https://uacm.edu.mx/organizacion/tesoreria" TargetMode="External"/><Relationship Id="rId350" Type="http://schemas.openxmlformats.org/officeDocument/2006/relationships/hyperlink" Target="https://uacm.edu.mx/organizacion/tesoreria" TargetMode="External"/><Relationship Id="rId588" Type="http://schemas.openxmlformats.org/officeDocument/2006/relationships/hyperlink" Target="https://uacm.edu.mx/organizacion/tesoreria" TargetMode="External"/><Relationship Id="rId795" Type="http://schemas.openxmlformats.org/officeDocument/2006/relationships/hyperlink" Target="https://uacm.edu.mx/organizacion/tesoreria" TargetMode="External"/><Relationship Id="rId809" Type="http://schemas.openxmlformats.org/officeDocument/2006/relationships/hyperlink" Target="https://uacm.edu.mx/organizacion/tesoreria" TargetMode="External"/><Relationship Id="rId1201" Type="http://schemas.openxmlformats.org/officeDocument/2006/relationships/hyperlink" Target="https://uacm.edu.mx/organizacion/tesoreria" TargetMode="External"/><Relationship Id="rId1439" Type="http://schemas.openxmlformats.org/officeDocument/2006/relationships/hyperlink" Target="https://uacm.edu.mx/organizacion/tesoreria" TargetMode="External"/><Relationship Id="rId9" Type="http://schemas.openxmlformats.org/officeDocument/2006/relationships/hyperlink" Target="https://uacm.edu.mx/organizacion/tesoreria" TargetMode="External"/><Relationship Id="rId210" Type="http://schemas.openxmlformats.org/officeDocument/2006/relationships/hyperlink" Target="https://uacm.edu.mx/organizacion/tesoreria" TargetMode="External"/><Relationship Id="rId448" Type="http://schemas.openxmlformats.org/officeDocument/2006/relationships/hyperlink" Target="https://uacm.edu.mx/organizacion/tesoreria" TargetMode="External"/><Relationship Id="rId655" Type="http://schemas.openxmlformats.org/officeDocument/2006/relationships/hyperlink" Target="https://uacm.edu.mx/organizacion/tesoreria" TargetMode="External"/><Relationship Id="rId862" Type="http://schemas.openxmlformats.org/officeDocument/2006/relationships/hyperlink" Target="https://uacm.edu.mx/organizacion/tesoreria" TargetMode="External"/><Relationship Id="rId1078" Type="http://schemas.openxmlformats.org/officeDocument/2006/relationships/hyperlink" Target="https://uacm.edu.mx/organizacion/tesoreria" TargetMode="External"/><Relationship Id="rId1285" Type="http://schemas.openxmlformats.org/officeDocument/2006/relationships/hyperlink" Target="https://uacm.edu.mx/organizacion/tesoreria" TargetMode="External"/><Relationship Id="rId1492" Type="http://schemas.openxmlformats.org/officeDocument/2006/relationships/hyperlink" Target="https://uacm.edu.mx/organizacion/tesoreria" TargetMode="External"/><Relationship Id="rId1506" Type="http://schemas.openxmlformats.org/officeDocument/2006/relationships/hyperlink" Target="https://uacm.edu.mx/organizacion/tesoreria" TargetMode="External"/><Relationship Id="rId294" Type="http://schemas.openxmlformats.org/officeDocument/2006/relationships/hyperlink" Target="https://uacm.edu.mx/organizacion/tesoreria" TargetMode="External"/><Relationship Id="rId308" Type="http://schemas.openxmlformats.org/officeDocument/2006/relationships/hyperlink" Target="https://uacm.edu.mx/organizacion/tesoreria" TargetMode="External"/><Relationship Id="rId515" Type="http://schemas.openxmlformats.org/officeDocument/2006/relationships/hyperlink" Target="https://uacm.edu.mx/organizacion/tesoreria" TargetMode="External"/><Relationship Id="rId722" Type="http://schemas.openxmlformats.org/officeDocument/2006/relationships/hyperlink" Target="https://uacm.edu.mx/organizacion/tesoreria" TargetMode="External"/><Relationship Id="rId1145" Type="http://schemas.openxmlformats.org/officeDocument/2006/relationships/hyperlink" Target="https://uacm.edu.mx/organizacion/tesoreria" TargetMode="External"/><Relationship Id="rId1352" Type="http://schemas.openxmlformats.org/officeDocument/2006/relationships/hyperlink" Target="https://uacm.edu.mx/organizacion/tesoreria" TargetMode="External"/><Relationship Id="rId89" Type="http://schemas.openxmlformats.org/officeDocument/2006/relationships/hyperlink" Target="https://uacm.edu.mx/organizacion/tesoreria" TargetMode="External"/><Relationship Id="rId154" Type="http://schemas.openxmlformats.org/officeDocument/2006/relationships/hyperlink" Target="https://uacm.edu.mx/organizacion/tesoreria" TargetMode="External"/><Relationship Id="rId361" Type="http://schemas.openxmlformats.org/officeDocument/2006/relationships/hyperlink" Target="https://uacm.edu.mx/organizacion/tesoreria" TargetMode="External"/><Relationship Id="rId599" Type="http://schemas.openxmlformats.org/officeDocument/2006/relationships/hyperlink" Target="https://uacm.edu.mx/organizacion/tesoreria" TargetMode="External"/><Relationship Id="rId1005" Type="http://schemas.openxmlformats.org/officeDocument/2006/relationships/hyperlink" Target="https://uacm.edu.mx/organizacion/tesoreria" TargetMode="External"/><Relationship Id="rId1212" Type="http://schemas.openxmlformats.org/officeDocument/2006/relationships/hyperlink" Target="https://uacm.edu.mx/organizacion/tesoreria" TargetMode="External"/><Relationship Id="rId459" Type="http://schemas.openxmlformats.org/officeDocument/2006/relationships/hyperlink" Target="https://uacm.edu.mx/organizacion/tesoreria" TargetMode="External"/><Relationship Id="rId666" Type="http://schemas.openxmlformats.org/officeDocument/2006/relationships/hyperlink" Target="https://uacm.edu.mx/organizacion/tesoreria" TargetMode="External"/><Relationship Id="rId873" Type="http://schemas.openxmlformats.org/officeDocument/2006/relationships/hyperlink" Target="https://uacm.edu.mx/organizacion/tesoreria" TargetMode="External"/><Relationship Id="rId1089" Type="http://schemas.openxmlformats.org/officeDocument/2006/relationships/hyperlink" Target="https://uacm.edu.mx/organizacion/tesoreria" TargetMode="External"/><Relationship Id="rId1296" Type="http://schemas.openxmlformats.org/officeDocument/2006/relationships/hyperlink" Target="https://uacm.edu.mx/organizacion/tesoreria" TargetMode="External"/><Relationship Id="rId1517" Type="http://schemas.openxmlformats.org/officeDocument/2006/relationships/hyperlink" Target="https://uacm.edu.mx/organizacion/tesoreria" TargetMode="External"/><Relationship Id="rId16" Type="http://schemas.openxmlformats.org/officeDocument/2006/relationships/hyperlink" Target="https://uacm.edu.mx/organizacion/tesoreria" TargetMode="External"/><Relationship Id="rId221" Type="http://schemas.openxmlformats.org/officeDocument/2006/relationships/hyperlink" Target="https://uacm.edu.mx/organizacion/tesoreria" TargetMode="External"/><Relationship Id="rId319" Type="http://schemas.openxmlformats.org/officeDocument/2006/relationships/hyperlink" Target="https://uacm.edu.mx/organizacion/tesoreria" TargetMode="External"/><Relationship Id="rId526" Type="http://schemas.openxmlformats.org/officeDocument/2006/relationships/hyperlink" Target="https://uacm.edu.mx/organizacion/tesoreria" TargetMode="External"/><Relationship Id="rId1156" Type="http://schemas.openxmlformats.org/officeDocument/2006/relationships/hyperlink" Target="https://uacm.edu.mx/organizacion/tesoreria" TargetMode="External"/><Relationship Id="rId1363" Type="http://schemas.openxmlformats.org/officeDocument/2006/relationships/hyperlink" Target="https://uacm.edu.mx/organizacion/tesoreria" TargetMode="External"/><Relationship Id="rId733" Type="http://schemas.openxmlformats.org/officeDocument/2006/relationships/hyperlink" Target="https://uacm.edu.mx/organizacion/tesoreria" TargetMode="External"/><Relationship Id="rId940" Type="http://schemas.openxmlformats.org/officeDocument/2006/relationships/hyperlink" Target="https://uacm.edu.mx/organizacion/tesoreria" TargetMode="External"/><Relationship Id="rId1016" Type="http://schemas.openxmlformats.org/officeDocument/2006/relationships/hyperlink" Target="https://uacm.edu.mx/organizacion/tesoreria" TargetMode="External"/><Relationship Id="rId165" Type="http://schemas.openxmlformats.org/officeDocument/2006/relationships/hyperlink" Target="https://uacm.edu.mx/organizacion/tesoreria" TargetMode="External"/><Relationship Id="rId372" Type="http://schemas.openxmlformats.org/officeDocument/2006/relationships/hyperlink" Target="https://uacm.edu.mx/organizacion/tesoreria" TargetMode="External"/><Relationship Id="rId677" Type="http://schemas.openxmlformats.org/officeDocument/2006/relationships/hyperlink" Target="https://uacm.edu.mx/organizacion/tesoreria" TargetMode="External"/><Relationship Id="rId800" Type="http://schemas.openxmlformats.org/officeDocument/2006/relationships/hyperlink" Target="https://uacm.edu.mx/organizacion/tesoreria" TargetMode="External"/><Relationship Id="rId1223" Type="http://schemas.openxmlformats.org/officeDocument/2006/relationships/hyperlink" Target="https://uacm.edu.mx/organizacion/tesoreria" TargetMode="External"/><Relationship Id="rId1430" Type="http://schemas.openxmlformats.org/officeDocument/2006/relationships/hyperlink" Target="https://uacm.edu.mx/organizacion/tesoreria" TargetMode="External"/><Relationship Id="rId1528" Type="http://schemas.openxmlformats.org/officeDocument/2006/relationships/hyperlink" Target="https://uacm.edu.mx/organizacion/tesoreria" TargetMode="External"/><Relationship Id="rId232" Type="http://schemas.openxmlformats.org/officeDocument/2006/relationships/hyperlink" Target="https://uacm.edu.mx/organizacion/tesoreria" TargetMode="External"/><Relationship Id="rId884" Type="http://schemas.openxmlformats.org/officeDocument/2006/relationships/hyperlink" Target="https://uacm.edu.mx/organizacion/tesoreria" TargetMode="External"/><Relationship Id="rId27" Type="http://schemas.openxmlformats.org/officeDocument/2006/relationships/hyperlink" Target="https://uacm.edu.mx/organizacion/tesoreria" TargetMode="External"/><Relationship Id="rId537" Type="http://schemas.openxmlformats.org/officeDocument/2006/relationships/hyperlink" Target="https://uacm.edu.mx/organizacion/tesoreria" TargetMode="External"/><Relationship Id="rId744" Type="http://schemas.openxmlformats.org/officeDocument/2006/relationships/hyperlink" Target="https://uacm.edu.mx/organizacion/tesoreria" TargetMode="External"/><Relationship Id="rId951" Type="http://schemas.openxmlformats.org/officeDocument/2006/relationships/hyperlink" Target="https://uacm.edu.mx/organizacion/tesoreria" TargetMode="External"/><Relationship Id="rId1167" Type="http://schemas.openxmlformats.org/officeDocument/2006/relationships/hyperlink" Target="https://uacm.edu.mx/organizacion/tesoreria" TargetMode="External"/><Relationship Id="rId1374" Type="http://schemas.openxmlformats.org/officeDocument/2006/relationships/hyperlink" Target="https://uacm.edu.mx/organizacion/tesoreria" TargetMode="External"/><Relationship Id="rId80" Type="http://schemas.openxmlformats.org/officeDocument/2006/relationships/hyperlink" Target="https://uacm.edu.mx/organizacion/tesoreria" TargetMode="External"/><Relationship Id="rId176" Type="http://schemas.openxmlformats.org/officeDocument/2006/relationships/hyperlink" Target="https://uacm.edu.mx/organizacion/tesoreria" TargetMode="External"/><Relationship Id="rId383" Type="http://schemas.openxmlformats.org/officeDocument/2006/relationships/hyperlink" Target="https://uacm.edu.mx/organizacion/tesoreria" TargetMode="External"/><Relationship Id="rId590" Type="http://schemas.openxmlformats.org/officeDocument/2006/relationships/hyperlink" Target="https://uacm.edu.mx/organizacion/tesoreria" TargetMode="External"/><Relationship Id="rId604" Type="http://schemas.openxmlformats.org/officeDocument/2006/relationships/hyperlink" Target="https://uacm.edu.mx/organizacion/tesoreria" TargetMode="External"/><Relationship Id="rId811" Type="http://schemas.openxmlformats.org/officeDocument/2006/relationships/hyperlink" Target="https://uacm.edu.mx/organizacion/tesoreria" TargetMode="External"/><Relationship Id="rId1027" Type="http://schemas.openxmlformats.org/officeDocument/2006/relationships/hyperlink" Target="https://uacm.edu.mx/organizacion/tesoreria" TargetMode="External"/><Relationship Id="rId1234" Type="http://schemas.openxmlformats.org/officeDocument/2006/relationships/hyperlink" Target="https://uacm.edu.mx/organizacion/tesoreria" TargetMode="External"/><Relationship Id="rId1441" Type="http://schemas.openxmlformats.org/officeDocument/2006/relationships/hyperlink" Target="https://uacm.edu.mx/organizacion/tesoreria" TargetMode="External"/><Relationship Id="rId243" Type="http://schemas.openxmlformats.org/officeDocument/2006/relationships/hyperlink" Target="https://uacm.edu.mx/organizacion/tesoreria" TargetMode="External"/><Relationship Id="rId450" Type="http://schemas.openxmlformats.org/officeDocument/2006/relationships/hyperlink" Target="https://uacm.edu.mx/organizacion/tesoreria" TargetMode="External"/><Relationship Id="rId688" Type="http://schemas.openxmlformats.org/officeDocument/2006/relationships/hyperlink" Target="https://uacm.edu.mx/organizacion/tesoreria" TargetMode="External"/><Relationship Id="rId895" Type="http://schemas.openxmlformats.org/officeDocument/2006/relationships/hyperlink" Target="https://uacm.edu.mx/organizacion/tesoreria" TargetMode="External"/><Relationship Id="rId909" Type="http://schemas.openxmlformats.org/officeDocument/2006/relationships/hyperlink" Target="https://uacm.edu.mx/organizacion/tesoreria" TargetMode="External"/><Relationship Id="rId1080" Type="http://schemas.openxmlformats.org/officeDocument/2006/relationships/hyperlink" Target="https://uacm.edu.mx/organizacion/tesoreria" TargetMode="External"/><Relationship Id="rId1301" Type="http://schemas.openxmlformats.org/officeDocument/2006/relationships/hyperlink" Target="https://uacm.edu.mx/organizacion/tesoreria" TargetMode="External"/><Relationship Id="rId1539" Type="http://schemas.openxmlformats.org/officeDocument/2006/relationships/hyperlink" Target="https://uacm.edu.mx/organizacion/tesoreria" TargetMode="External"/><Relationship Id="rId38" Type="http://schemas.openxmlformats.org/officeDocument/2006/relationships/hyperlink" Target="https://uacm.edu.mx/organizacion/tesoreria" TargetMode="External"/><Relationship Id="rId103" Type="http://schemas.openxmlformats.org/officeDocument/2006/relationships/hyperlink" Target="https://uacm.edu.mx/organizacion/tesoreria" TargetMode="External"/><Relationship Id="rId310" Type="http://schemas.openxmlformats.org/officeDocument/2006/relationships/hyperlink" Target="https://uacm.edu.mx/organizacion/tesoreria" TargetMode="External"/><Relationship Id="rId548" Type="http://schemas.openxmlformats.org/officeDocument/2006/relationships/hyperlink" Target="https://uacm.edu.mx/organizacion/tesoreria" TargetMode="External"/><Relationship Id="rId755" Type="http://schemas.openxmlformats.org/officeDocument/2006/relationships/hyperlink" Target="https://uacm.edu.mx/organizacion/tesoreria" TargetMode="External"/><Relationship Id="rId962" Type="http://schemas.openxmlformats.org/officeDocument/2006/relationships/hyperlink" Target="https://uacm.edu.mx/organizacion/tesoreria" TargetMode="External"/><Relationship Id="rId1178" Type="http://schemas.openxmlformats.org/officeDocument/2006/relationships/hyperlink" Target="https://uacm.edu.mx/organizacion/tesoreria" TargetMode="External"/><Relationship Id="rId1385" Type="http://schemas.openxmlformats.org/officeDocument/2006/relationships/hyperlink" Target="https://uacm.edu.mx/organizacion/tesoreria" TargetMode="External"/><Relationship Id="rId91" Type="http://schemas.openxmlformats.org/officeDocument/2006/relationships/hyperlink" Target="https://uacm.edu.mx/organizacion/tesoreria" TargetMode="External"/><Relationship Id="rId187" Type="http://schemas.openxmlformats.org/officeDocument/2006/relationships/hyperlink" Target="https://uacm.edu.mx/organizacion/tesoreria" TargetMode="External"/><Relationship Id="rId394" Type="http://schemas.openxmlformats.org/officeDocument/2006/relationships/hyperlink" Target="https://uacm.edu.mx/organizacion/tesoreria" TargetMode="External"/><Relationship Id="rId408" Type="http://schemas.openxmlformats.org/officeDocument/2006/relationships/hyperlink" Target="https://uacm.edu.mx/organizacion/tesoreria" TargetMode="External"/><Relationship Id="rId615" Type="http://schemas.openxmlformats.org/officeDocument/2006/relationships/hyperlink" Target="https://uacm.edu.mx/organizacion/tesoreria" TargetMode="External"/><Relationship Id="rId822" Type="http://schemas.openxmlformats.org/officeDocument/2006/relationships/hyperlink" Target="https://uacm.edu.mx/organizacion/tesoreria" TargetMode="External"/><Relationship Id="rId1038" Type="http://schemas.openxmlformats.org/officeDocument/2006/relationships/hyperlink" Target="https://uacm.edu.mx/organizacion/tesoreria" TargetMode="External"/><Relationship Id="rId1245" Type="http://schemas.openxmlformats.org/officeDocument/2006/relationships/hyperlink" Target="https://uacm.edu.mx/organizacion/tesoreria" TargetMode="External"/><Relationship Id="rId1452" Type="http://schemas.openxmlformats.org/officeDocument/2006/relationships/hyperlink" Target="https://uacm.edu.mx/organizacion/tesoreria" TargetMode="External"/><Relationship Id="rId254" Type="http://schemas.openxmlformats.org/officeDocument/2006/relationships/hyperlink" Target="https://uacm.edu.mx/organizacion/tesoreria" TargetMode="External"/><Relationship Id="rId699" Type="http://schemas.openxmlformats.org/officeDocument/2006/relationships/hyperlink" Target="https://uacm.edu.mx/organizacion/tesoreria" TargetMode="External"/><Relationship Id="rId1091" Type="http://schemas.openxmlformats.org/officeDocument/2006/relationships/hyperlink" Target="https://uacm.edu.mx/organizacion/tesoreria" TargetMode="External"/><Relationship Id="rId1105" Type="http://schemas.openxmlformats.org/officeDocument/2006/relationships/hyperlink" Target="https://uacm.edu.mx/organizacion/tesoreria" TargetMode="External"/><Relationship Id="rId1312" Type="http://schemas.openxmlformats.org/officeDocument/2006/relationships/hyperlink" Target="https://uacm.edu.mx/organizacion/tesoreria" TargetMode="External"/><Relationship Id="rId49" Type="http://schemas.openxmlformats.org/officeDocument/2006/relationships/hyperlink" Target="https://uacm.edu.mx/organizacion/tesoreria" TargetMode="External"/><Relationship Id="rId114" Type="http://schemas.openxmlformats.org/officeDocument/2006/relationships/hyperlink" Target="https://uacm.edu.mx/organizacion/tesoreria" TargetMode="External"/><Relationship Id="rId461" Type="http://schemas.openxmlformats.org/officeDocument/2006/relationships/hyperlink" Target="https://uacm.edu.mx/organizacion/tesoreria" TargetMode="External"/><Relationship Id="rId559" Type="http://schemas.openxmlformats.org/officeDocument/2006/relationships/hyperlink" Target="https://uacm.edu.mx/organizacion/tesoreria" TargetMode="External"/><Relationship Id="rId766" Type="http://schemas.openxmlformats.org/officeDocument/2006/relationships/hyperlink" Target="https://uacm.edu.mx/organizacion/tesoreria" TargetMode="External"/><Relationship Id="rId1189" Type="http://schemas.openxmlformats.org/officeDocument/2006/relationships/hyperlink" Target="https://uacm.edu.mx/organizacion/tesoreria" TargetMode="External"/><Relationship Id="rId1396" Type="http://schemas.openxmlformats.org/officeDocument/2006/relationships/hyperlink" Target="https://uacm.edu.mx/organizacion/tesoreria" TargetMode="External"/><Relationship Id="rId198" Type="http://schemas.openxmlformats.org/officeDocument/2006/relationships/hyperlink" Target="https://uacm.edu.mx/organizacion/tesoreria" TargetMode="External"/><Relationship Id="rId321" Type="http://schemas.openxmlformats.org/officeDocument/2006/relationships/hyperlink" Target="https://uacm.edu.mx/organizacion/tesoreria" TargetMode="External"/><Relationship Id="rId419" Type="http://schemas.openxmlformats.org/officeDocument/2006/relationships/hyperlink" Target="https://uacm.edu.mx/organizacion/tesoreria" TargetMode="External"/><Relationship Id="rId626" Type="http://schemas.openxmlformats.org/officeDocument/2006/relationships/hyperlink" Target="https://uacm.edu.mx/organizacion/tesoreria" TargetMode="External"/><Relationship Id="rId973" Type="http://schemas.openxmlformats.org/officeDocument/2006/relationships/hyperlink" Target="https://uacm.edu.mx/organizacion/tesoreria" TargetMode="External"/><Relationship Id="rId1049" Type="http://schemas.openxmlformats.org/officeDocument/2006/relationships/hyperlink" Target="https://uacm.edu.mx/organizacion/tesoreria" TargetMode="External"/><Relationship Id="rId1256" Type="http://schemas.openxmlformats.org/officeDocument/2006/relationships/hyperlink" Target="https://uacm.edu.mx/organizacion/tesoreria" TargetMode="External"/><Relationship Id="rId833" Type="http://schemas.openxmlformats.org/officeDocument/2006/relationships/hyperlink" Target="https://uacm.edu.mx/organizacion/tesoreria" TargetMode="External"/><Relationship Id="rId1116" Type="http://schemas.openxmlformats.org/officeDocument/2006/relationships/hyperlink" Target="https://uacm.edu.mx/organizacion/tesoreria" TargetMode="External"/><Relationship Id="rId1463" Type="http://schemas.openxmlformats.org/officeDocument/2006/relationships/hyperlink" Target="https://uacm.edu.mx/organizacion/tesoreria" TargetMode="External"/><Relationship Id="rId265" Type="http://schemas.openxmlformats.org/officeDocument/2006/relationships/hyperlink" Target="https://uacm.edu.mx/organizacion/tesoreria" TargetMode="External"/><Relationship Id="rId472" Type="http://schemas.openxmlformats.org/officeDocument/2006/relationships/hyperlink" Target="https://uacm.edu.mx/organizacion/tesoreria" TargetMode="External"/><Relationship Id="rId900" Type="http://schemas.openxmlformats.org/officeDocument/2006/relationships/hyperlink" Target="https://uacm.edu.mx/organizacion/tesoreria" TargetMode="External"/><Relationship Id="rId1323" Type="http://schemas.openxmlformats.org/officeDocument/2006/relationships/hyperlink" Target="https://uacm.edu.mx/organizacion/tesoreria" TargetMode="External"/><Relationship Id="rId1530" Type="http://schemas.openxmlformats.org/officeDocument/2006/relationships/hyperlink" Target="https://uacm.edu.mx/organizacion/tesoreria" TargetMode="External"/><Relationship Id="rId125" Type="http://schemas.openxmlformats.org/officeDocument/2006/relationships/hyperlink" Target="https://uacm.edu.mx/organizacion/tesoreria" TargetMode="External"/><Relationship Id="rId332" Type="http://schemas.openxmlformats.org/officeDocument/2006/relationships/hyperlink" Target="https://uacm.edu.mx/organizacion/tesoreria" TargetMode="External"/><Relationship Id="rId777" Type="http://schemas.openxmlformats.org/officeDocument/2006/relationships/hyperlink" Target="https://uacm.edu.mx/organizacion/tesoreria" TargetMode="External"/><Relationship Id="rId984" Type="http://schemas.openxmlformats.org/officeDocument/2006/relationships/hyperlink" Target="https://uacm.edu.mx/organizacion/tesoreria" TargetMode="External"/><Relationship Id="rId637" Type="http://schemas.openxmlformats.org/officeDocument/2006/relationships/hyperlink" Target="https://uacm.edu.mx/organizacion/tesoreria" TargetMode="External"/><Relationship Id="rId844" Type="http://schemas.openxmlformats.org/officeDocument/2006/relationships/hyperlink" Target="https://uacm.edu.mx/organizacion/tesoreria" TargetMode="External"/><Relationship Id="rId1267" Type="http://schemas.openxmlformats.org/officeDocument/2006/relationships/hyperlink" Target="https://uacm.edu.mx/organizacion/tesoreria" TargetMode="External"/><Relationship Id="rId1474" Type="http://schemas.openxmlformats.org/officeDocument/2006/relationships/hyperlink" Target="https://uacm.edu.mx/organizacion/tesoreria" TargetMode="External"/><Relationship Id="rId276" Type="http://schemas.openxmlformats.org/officeDocument/2006/relationships/hyperlink" Target="https://uacm.edu.mx/organizacion/tesoreria" TargetMode="External"/><Relationship Id="rId483" Type="http://schemas.openxmlformats.org/officeDocument/2006/relationships/hyperlink" Target="https://uacm.edu.mx/organizacion/tesoreria" TargetMode="External"/><Relationship Id="rId690" Type="http://schemas.openxmlformats.org/officeDocument/2006/relationships/hyperlink" Target="https://uacm.edu.mx/organizacion/tesoreria" TargetMode="External"/><Relationship Id="rId704" Type="http://schemas.openxmlformats.org/officeDocument/2006/relationships/hyperlink" Target="https://uacm.edu.mx/organizacion/tesoreria" TargetMode="External"/><Relationship Id="rId911" Type="http://schemas.openxmlformats.org/officeDocument/2006/relationships/hyperlink" Target="https://uacm.edu.mx/organizacion/tesoreria" TargetMode="External"/><Relationship Id="rId1127" Type="http://schemas.openxmlformats.org/officeDocument/2006/relationships/hyperlink" Target="https://uacm.edu.mx/organizacion/tesoreria" TargetMode="External"/><Relationship Id="rId1334" Type="http://schemas.openxmlformats.org/officeDocument/2006/relationships/hyperlink" Target="https://uacm.edu.mx/organizacion/tesoreria" TargetMode="External"/><Relationship Id="rId1541" Type="http://schemas.openxmlformats.org/officeDocument/2006/relationships/hyperlink" Target="https://uacm.edu.mx/organizacion/tesoreria" TargetMode="External"/><Relationship Id="rId40" Type="http://schemas.openxmlformats.org/officeDocument/2006/relationships/hyperlink" Target="https://uacm.edu.mx/organizacion/tesoreria" TargetMode="External"/><Relationship Id="rId136" Type="http://schemas.openxmlformats.org/officeDocument/2006/relationships/hyperlink" Target="https://uacm.edu.mx/organizacion/tesoreria" TargetMode="External"/><Relationship Id="rId343" Type="http://schemas.openxmlformats.org/officeDocument/2006/relationships/hyperlink" Target="https://uacm.edu.mx/organizacion/tesoreria" TargetMode="External"/><Relationship Id="rId550" Type="http://schemas.openxmlformats.org/officeDocument/2006/relationships/hyperlink" Target="https://uacm.edu.mx/organizacion/tesoreria" TargetMode="External"/><Relationship Id="rId788" Type="http://schemas.openxmlformats.org/officeDocument/2006/relationships/hyperlink" Target="https://uacm.edu.mx/organizacion/tesoreria" TargetMode="External"/><Relationship Id="rId995" Type="http://schemas.openxmlformats.org/officeDocument/2006/relationships/hyperlink" Target="https://uacm.edu.mx/organizacion/tesoreria" TargetMode="External"/><Relationship Id="rId1180" Type="http://schemas.openxmlformats.org/officeDocument/2006/relationships/hyperlink" Target="https://uacm.edu.mx/organizacion/tesoreria" TargetMode="External"/><Relationship Id="rId1401" Type="http://schemas.openxmlformats.org/officeDocument/2006/relationships/hyperlink" Target="https://uacm.edu.mx/organizacion/tesoreria" TargetMode="External"/><Relationship Id="rId203" Type="http://schemas.openxmlformats.org/officeDocument/2006/relationships/hyperlink" Target="https://uacm.edu.mx/organizacion/tesoreria" TargetMode="External"/><Relationship Id="rId648" Type="http://schemas.openxmlformats.org/officeDocument/2006/relationships/hyperlink" Target="https://uacm.edu.mx/organizacion/tesoreria" TargetMode="External"/><Relationship Id="rId855" Type="http://schemas.openxmlformats.org/officeDocument/2006/relationships/hyperlink" Target="https://uacm.edu.mx/organizacion/tesoreria" TargetMode="External"/><Relationship Id="rId1040" Type="http://schemas.openxmlformats.org/officeDocument/2006/relationships/hyperlink" Target="https://uacm.edu.mx/organizacion/tesoreria" TargetMode="External"/><Relationship Id="rId1278" Type="http://schemas.openxmlformats.org/officeDocument/2006/relationships/hyperlink" Target="https://uacm.edu.mx/organizacion/tesoreria" TargetMode="External"/><Relationship Id="rId1485" Type="http://schemas.openxmlformats.org/officeDocument/2006/relationships/hyperlink" Target="https://uacm.edu.mx/organizacion/tesoreria" TargetMode="External"/><Relationship Id="rId287" Type="http://schemas.openxmlformats.org/officeDocument/2006/relationships/hyperlink" Target="https://uacm.edu.mx/organizacion/tesoreria" TargetMode="External"/><Relationship Id="rId410" Type="http://schemas.openxmlformats.org/officeDocument/2006/relationships/hyperlink" Target="https://uacm.edu.mx/organizacion/tesoreria" TargetMode="External"/><Relationship Id="rId494" Type="http://schemas.openxmlformats.org/officeDocument/2006/relationships/hyperlink" Target="https://uacm.edu.mx/organizacion/tesoreria" TargetMode="External"/><Relationship Id="rId508" Type="http://schemas.openxmlformats.org/officeDocument/2006/relationships/hyperlink" Target="https://uacm.edu.mx/organizacion/tesoreria" TargetMode="External"/><Relationship Id="rId715" Type="http://schemas.openxmlformats.org/officeDocument/2006/relationships/hyperlink" Target="https://uacm.edu.mx/organizacion/tesoreria" TargetMode="External"/><Relationship Id="rId922" Type="http://schemas.openxmlformats.org/officeDocument/2006/relationships/hyperlink" Target="https://uacm.edu.mx/organizacion/tesoreria" TargetMode="External"/><Relationship Id="rId1138" Type="http://schemas.openxmlformats.org/officeDocument/2006/relationships/hyperlink" Target="https://uacm.edu.mx/organizacion/tesoreria" TargetMode="External"/><Relationship Id="rId1345" Type="http://schemas.openxmlformats.org/officeDocument/2006/relationships/hyperlink" Target="https://uacm.edu.mx/organizacion/tesoreria" TargetMode="External"/><Relationship Id="rId147" Type="http://schemas.openxmlformats.org/officeDocument/2006/relationships/hyperlink" Target="https://uacm.edu.mx/organizacion/tesoreria" TargetMode="External"/><Relationship Id="rId354" Type="http://schemas.openxmlformats.org/officeDocument/2006/relationships/hyperlink" Target="https://uacm.edu.mx/organizacion/tesoreria" TargetMode="External"/><Relationship Id="rId799" Type="http://schemas.openxmlformats.org/officeDocument/2006/relationships/hyperlink" Target="https://uacm.edu.mx/organizacion/tesoreria" TargetMode="External"/><Relationship Id="rId1191" Type="http://schemas.openxmlformats.org/officeDocument/2006/relationships/hyperlink" Target="https://uacm.edu.mx/organizacion/tesoreria" TargetMode="External"/><Relationship Id="rId1205" Type="http://schemas.openxmlformats.org/officeDocument/2006/relationships/hyperlink" Target="https://uacm.edu.mx/organizacion/tesoreria" TargetMode="External"/><Relationship Id="rId51" Type="http://schemas.openxmlformats.org/officeDocument/2006/relationships/hyperlink" Target="https://uacm.edu.mx/organizacion/tesoreria" TargetMode="External"/><Relationship Id="rId561" Type="http://schemas.openxmlformats.org/officeDocument/2006/relationships/hyperlink" Target="https://uacm.edu.mx/organizacion/tesoreria" TargetMode="External"/><Relationship Id="rId659" Type="http://schemas.openxmlformats.org/officeDocument/2006/relationships/hyperlink" Target="https://uacm.edu.mx/organizacion/tesoreria" TargetMode="External"/><Relationship Id="rId866" Type="http://schemas.openxmlformats.org/officeDocument/2006/relationships/hyperlink" Target="https://uacm.edu.mx/organizacion/tesoreria" TargetMode="External"/><Relationship Id="rId1289" Type="http://schemas.openxmlformats.org/officeDocument/2006/relationships/hyperlink" Target="https://uacm.edu.mx/organizacion/tesoreria" TargetMode="External"/><Relationship Id="rId1412" Type="http://schemas.openxmlformats.org/officeDocument/2006/relationships/hyperlink" Target="https://uacm.edu.mx/organizacion/tesoreria" TargetMode="External"/><Relationship Id="rId1496" Type="http://schemas.openxmlformats.org/officeDocument/2006/relationships/hyperlink" Target="https://uacm.edu.mx/organizacion/tesoreria" TargetMode="External"/><Relationship Id="rId214" Type="http://schemas.openxmlformats.org/officeDocument/2006/relationships/hyperlink" Target="https://uacm.edu.mx/organizacion/tesoreria" TargetMode="External"/><Relationship Id="rId298" Type="http://schemas.openxmlformats.org/officeDocument/2006/relationships/hyperlink" Target="https://uacm.edu.mx/organizacion/tesoreria" TargetMode="External"/><Relationship Id="rId421" Type="http://schemas.openxmlformats.org/officeDocument/2006/relationships/hyperlink" Target="https://uacm.edu.mx/organizacion/tesoreria" TargetMode="External"/><Relationship Id="rId519" Type="http://schemas.openxmlformats.org/officeDocument/2006/relationships/hyperlink" Target="https://uacm.edu.mx/organizacion/tesoreria" TargetMode="External"/><Relationship Id="rId1051" Type="http://schemas.openxmlformats.org/officeDocument/2006/relationships/hyperlink" Target="https://uacm.edu.mx/organizacion/tesoreria" TargetMode="External"/><Relationship Id="rId1149" Type="http://schemas.openxmlformats.org/officeDocument/2006/relationships/hyperlink" Target="https://uacm.edu.mx/organizacion/tesoreria" TargetMode="External"/><Relationship Id="rId1356" Type="http://schemas.openxmlformats.org/officeDocument/2006/relationships/hyperlink" Target="https://uacm.edu.mx/organizacion/tesoreria" TargetMode="External"/><Relationship Id="rId158" Type="http://schemas.openxmlformats.org/officeDocument/2006/relationships/hyperlink" Target="https://uacm.edu.mx/organizacion/tesoreria" TargetMode="External"/><Relationship Id="rId726" Type="http://schemas.openxmlformats.org/officeDocument/2006/relationships/hyperlink" Target="https://uacm.edu.mx/organizacion/tesoreria" TargetMode="External"/><Relationship Id="rId933" Type="http://schemas.openxmlformats.org/officeDocument/2006/relationships/hyperlink" Target="https://uacm.edu.mx/organizacion/tesoreria" TargetMode="External"/><Relationship Id="rId1009" Type="http://schemas.openxmlformats.org/officeDocument/2006/relationships/hyperlink" Target="https://uacm.edu.mx/organizacion/tesoreria" TargetMode="External"/><Relationship Id="rId62" Type="http://schemas.openxmlformats.org/officeDocument/2006/relationships/hyperlink" Target="https://uacm.edu.mx/organizacion/tesoreria" TargetMode="External"/><Relationship Id="rId365" Type="http://schemas.openxmlformats.org/officeDocument/2006/relationships/hyperlink" Target="https://uacm.edu.mx/organizacion/tesoreria" TargetMode="External"/><Relationship Id="rId572" Type="http://schemas.openxmlformats.org/officeDocument/2006/relationships/hyperlink" Target="https://uacm.edu.mx/organizacion/tesoreria" TargetMode="External"/><Relationship Id="rId1216" Type="http://schemas.openxmlformats.org/officeDocument/2006/relationships/hyperlink" Target="https://uacm.edu.mx/organizacion/tesoreria" TargetMode="External"/><Relationship Id="rId1423" Type="http://schemas.openxmlformats.org/officeDocument/2006/relationships/hyperlink" Target="https://uacm.edu.mx/organizacion/tesoreria" TargetMode="External"/><Relationship Id="rId225" Type="http://schemas.openxmlformats.org/officeDocument/2006/relationships/hyperlink" Target="https://uacm.edu.mx/organizacion/tesoreria" TargetMode="External"/><Relationship Id="rId432" Type="http://schemas.openxmlformats.org/officeDocument/2006/relationships/hyperlink" Target="https://uacm.edu.mx/organizacion/tesoreria" TargetMode="External"/><Relationship Id="rId877" Type="http://schemas.openxmlformats.org/officeDocument/2006/relationships/hyperlink" Target="https://uacm.edu.mx/organizacion/tesoreria" TargetMode="External"/><Relationship Id="rId1062" Type="http://schemas.openxmlformats.org/officeDocument/2006/relationships/hyperlink" Target="https://uacm.edu.mx/organizacion/tesoreria" TargetMode="External"/><Relationship Id="rId737" Type="http://schemas.openxmlformats.org/officeDocument/2006/relationships/hyperlink" Target="https://uacm.edu.mx/organizacion/tesoreria" TargetMode="External"/><Relationship Id="rId944" Type="http://schemas.openxmlformats.org/officeDocument/2006/relationships/hyperlink" Target="https://uacm.edu.mx/organizacion/tesoreria" TargetMode="External"/><Relationship Id="rId1367" Type="http://schemas.openxmlformats.org/officeDocument/2006/relationships/hyperlink" Target="https://uacm.edu.mx/organizacion/tesoreria" TargetMode="External"/><Relationship Id="rId73" Type="http://schemas.openxmlformats.org/officeDocument/2006/relationships/hyperlink" Target="https://uacm.edu.mx/organizacion/tesoreria" TargetMode="External"/><Relationship Id="rId169" Type="http://schemas.openxmlformats.org/officeDocument/2006/relationships/hyperlink" Target="https://uacm.edu.mx/organizacion/tesoreria" TargetMode="External"/><Relationship Id="rId376" Type="http://schemas.openxmlformats.org/officeDocument/2006/relationships/hyperlink" Target="https://uacm.edu.mx/organizacion/tesoreria" TargetMode="External"/><Relationship Id="rId583" Type="http://schemas.openxmlformats.org/officeDocument/2006/relationships/hyperlink" Target="https://uacm.edu.mx/organizacion/tesoreria" TargetMode="External"/><Relationship Id="rId790" Type="http://schemas.openxmlformats.org/officeDocument/2006/relationships/hyperlink" Target="https://uacm.edu.mx/organizacion/tesoreria" TargetMode="External"/><Relationship Id="rId804" Type="http://schemas.openxmlformats.org/officeDocument/2006/relationships/hyperlink" Target="https://uacm.edu.mx/organizacion/tesoreria" TargetMode="External"/><Relationship Id="rId1227" Type="http://schemas.openxmlformats.org/officeDocument/2006/relationships/hyperlink" Target="https://uacm.edu.mx/organizacion/tesoreria" TargetMode="External"/><Relationship Id="rId1434" Type="http://schemas.openxmlformats.org/officeDocument/2006/relationships/hyperlink" Target="https://uacm.edu.mx/organizacion/tesoreria" TargetMode="External"/><Relationship Id="rId4" Type="http://schemas.openxmlformats.org/officeDocument/2006/relationships/hyperlink" Target="https://uacm.edu.mx/organizacion/tesoreria" TargetMode="External"/><Relationship Id="rId236" Type="http://schemas.openxmlformats.org/officeDocument/2006/relationships/hyperlink" Target="https://uacm.edu.mx/organizacion/tesoreria" TargetMode="External"/><Relationship Id="rId443" Type="http://schemas.openxmlformats.org/officeDocument/2006/relationships/hyperlink" Target="https://uacm.edu.mx/organizacion/tesoreria" TargetMode="External"/><Relationship Id="rId650" Type="http://schemas.openxmlformats.org/officeDocument/2006/relationships/hyperlink" Target="https://uacm.edu.mx/organizacion/tesoreria" TargetMode="External"/><Relationship Id="rId888" Type="http://schemas.openxmlformats.org/officeDocument/2006/relationships/hyperlink" Target="https://uacm.edu.mx/organizacion/tesoreria" TargetMode="External"/><Relationship Id="rId1073" Type="http://schemas.openxmlformats.org/officeDocument/2006/relationships/hyperlink" Target="https://uacm.edu.mx/organizacion/tesoreria" TargetMode="External"/><Relationship Id="rId1280" Type="http://schemas.openxmlformats.org/officeDocument/2006/relationships/hyperlink" Target="https://uacm.edu.mx/organizacion/tesoreria" TargetMode="External"/><Relationship Id="rId1501" Type="http://schemas.openxmlformats.org/officeDocument/2006/relationships/hyperlink" Target="https://uacm.edu.mx/organizacion/tesoreria" TargetMode="External"/><Relationship Id="rId303" Type="http://schemas.openxmlformats.org/officeDocument/2006/relationships/hyperlink" Target="https://uacm.edu.mx/organizacion/tesoreria" TargetMode="External"/><Relationship Id="rId748" Type="http://schemas.openxmlformats.org/officeDocument/2006/relationships/hyperlink" Target="https://uacm.edu.mx/organizacion/tesoreria" TargetMode="External"/><Relationship Id="rId955" Type="http://schemas.openxmlformats.org/officeDocument/2006/relationships/hyperlink" Target="https://uacm.edu.mx/organizacion/tesoreria" TargetMode="External"/><Relationship Id="rId1140" Type="http://schemas.openxmlformats.org/officeDocument/2006/relationships/hyperlink" Target="https://uacm.edu.mx/organizacion/tesoreria" TargetMode="External"/><Relationship Id="rId1378" Type="http://schemas.openxmlformats.org/officeDocument/2006/relationships/hyperlink" Target="https://uacm.edu.mx/organizacion/tesoreria" TargetMode="External"/><Relationship Id="rId84" Type="http://schemas.openxmlformats.org/officeDocument/2006/relationships/hyperlink" Target="https://uacm.edu.mx/organizacion/tesoreria" TargetMode="External"/><Relationship Id="rId387" Type="http://schemas.openxmlformats.org/officeDocument/2006/relationships/hyperlink" Target="https://uacm.edu.mx/organizacion/tesoreria" TargetMode="External"/><Relationship Id="rId510" Type="http://schemas.openxmlformats.org/officeDocument/2006/relationships/hyperlink" Target="https://uacm.edu.mx/organizacion/tesoreria" TargetMode="External"/><Relationship Id="rId594" Type="http://schemas.openxmlformats.org/officeDocument/2006/relationships/hyperlink" Target="https://uacm.edu.mx/organizacion/tesoreria" TargetMode="External"/><Relationship Id="rId608" Type="http://schemas.openxmlformats.org/officeDocument/2006/relationships/hyperlink" Target="https://uacm.edu.mx/organizacion/tesoreria" TargetMode="External"/><Relationship Id="rId815" Type="http://schemas.openxmlformats.org/officeDocument/2006/relationships/hyperlink" Target="https://uacm.edu.mx/organizacion/tesoreria" TargetMode="External"/><Relationship Id="rId1238" Type="http://schemas.openxmlformats.org/officeDocument/2006/relationships/hyperlink" Target="https://uacm.edu.mx/organizacion/tesoreria" TargetMode="External"/><Relationship Id="rId1445" Type="http://schemas.openxmlformats.org/officeDocument/2006/relationships/hyperlink" Target="https://uacm.edu.mx/organizacion/tesoreria" TargetMode="External"/><Relationship Id="rId247" Type="http://schemas.openxmlformats.org/officeDocument/2006/relationships/hyperlink" Target="https://uacm.edu.mx/organizacion/tesoreria" TargetMode="External"/><Relationship Id="rId899" Type="http://schemas.openxmlformats.org/officeDocument/2006/relationships/hyperlink" Target="https://uacm.edu.mx/organizacion/tesoreria" TargetMode="External"/><Relationship Id="rId1000" Type="http://schemas.openxmlformats.org/officeDocument/2006/relationships/hyperlink" Target="https://uacm.edu.mx/organizacion/tesoreria" TargetMode="External"/><Relationship Id="rId1084" Type="http://schemas.openxmlformats.org/officeDocument/2006/relationships/hyperlink" Target="https://uacm.edu.mx/organizacion/tesoreria" TargetMode="External"/><Relationship Id="rId1305" Type="http://schemas.openxmlformats.org/officeDocument/2006/relationships/hyperlink" Target="https://uacm.edu.mx/organizacion/tesoreria" TargetMode="External"/><Relationship Id="rId107" Type="http://schemas.openxmlformats.org/officeDocument/2006/relationships/hyperlink" Target="https://uacm.edu.mx/organizacion/tesoreria" TargetMode="External"/><Relationship Id="rId454" Type="http://schemas.openxmlformats.org/officeDocument/2006/relationships/hyperlink" Target="https://uacm.edu.mx/organizacion/tesoreria" TargetMode="External"/><Relationship Id="rId661" Type="http://schemas.openxmlformats.org/officeDocument/2006/relationships/hyperlink" Target="https://uacm.edu.mx/organizacion/tesoreria" TargetMode="External"/><Relationship Id="rId759" Type="http://schemas.openxmlformats.org/officeDocument/2006/relationships/hyperlink" Target="https://uacm.edu.mx/organizacion/tesoreria" TargetMode="External"/><Relationship Id="rId966" Type="http://schemas.openxmlformats.org/officeDocument/2006/relationships/hyperlink" Target="https://uacm.edu.mx/organizacion/tesoreria" TargetMode="External"/><Relationship Id="rId1291" Type="http://schemas.openxmlformats.org/officeDocument/2006/relationships/hyperlink" Target="https://uacm.edu.mx/organizacion/tesoreria" TargetMode="External"/><Relationship Id="rId1389" Type="http://schemas.openxmlformats.org/officeDocument/2006/relationships/hyperlink" Target="https://uacm.edu.mx/organizacion/tesoreria" TargetMode="External"/><Relationship Id="rId1512" Type="http://schemas.openxmlformats.org/officeDocument/2006/relationships/hyperlink" Target="https://uacm.edu.mx/organizacion/tesoreria" TargetMode="External"/><Relationship Id="rId11" Type="http://schemas.openxmlformats.org/officeDocument/2006/relationships/hyperlink" Target="https://uacm.edu.mx/organizacion/tesoreria" TargetMode="External"/><Relationship Id="rId314" Type="http://schemas.openxmlformats.org/officeDocument/2006/relationships/hyperlink" Target="https://uacm.edu.mx/organizacion/tesoreria" TargetMode="External"/><Relationship Id="rId398" Type="http://schemas.openxmlformats.org/officeDocument/2006/relationships/hyperlink" Target="https://uacm.edu.mx/organizacion/tesoreria" TargetMode="External"/><Relationship Id="rId521" Type="http://schemas.openxmlformats.org/officeDocument/2006/relationships/hyperlink" Target="https://uacm.edu.mx/organizacion/tesoreria" TargetMode="External"/><Relationship Id="rId619" Type="http://schemas.openxmlformats.org/officeDocument/2006/relationships/hyperlink" Target="https://uacm.edu.mx/organizacion/tesoreria" TargetMode="External"/><Relationship Id="rId1151" Type="http://schemas.openxmlformats.org/officeDocument/2006/relationships/hyperlink" Target="https://uacm.edu.mx/organizacion/tesoreria" TargetMode="External"/><Relationship Id="rId1249" Type="http://schemas.openxmlformats.org/officeDocument/2006/relationships/hyperlink" Target="https://uacm.edu.mx/organizacion/tesoreria" TargetMode="External"/><Relationship Id="rId95" Type="http://schemas.openxmlformats.org/officeDocument/2006/relationships/hyperlink" Target="https://uacm.edu.mx/organizacion/tesoreria" TargetMode="External"/><Relationship Id="rId160" Type="http://schemas.openxmlformats.org/officeDocument/2006/relationships/hyperlink" Target="https://uacm.edu.mx/organizacion/tesoreria" TargetMode="External"/><Relationship Id="rId826" Type="http://schemas.openxmlformats.org/officeDocument/2006/relationships/hyperlink" Target="https://uacm.edu.mx/organizacion/tesoreria" TargetMode="External"/><Relationship Id="rId1011" Type="http://schemas.openxmlformats.org/officeDocument/2006/relationships/hyperlink" Target="https://uacm.edu.mx/organizacion/tesoreria" TargetMode="External"/><Relationship Id="rId1109" Type="http://schemas.openxmlformats.org/officeDocument/2006/relationships/hyperlink" Target="https://uacm.edu.mx/organizacion/tesoreria" TargetMode="External"/><Relationship Id="rId1456" Type="http://schemas.openxmlformats.org/officeDocument/2006/relationships/hyperlink" Target="https://uacm.edu.mx/organizacion/tesoreria" TargetMode="External"/><Relationship Id="rId258" Type="http://schemas.openxmlformats.org/officeDocument/2006/relationships/hyperlink" Target="https://uacm.edu.mx/organizacion/tesoreria" TargetMode="External"/><Relationship Id="rId465" Type="http://schemas.openxmlformats.org/officeDocument/2006/relationships/hyperlink" Target="https://uacm.edu.mx/organizacion/tesoreria" TargetMode="External"/><Relationship Id="rId672" Type="http://schemas.openxmlformats.org/officeDocument/2006/relationships/hyperlink" Target="https://uacm.edu.mx/organizacion/tesoreria" TargetMode="External"/><Relationship Id="rId1095" Type="http://schemas.openxmlformats.org/officeDocument/2006/relationships/hyperlink" Target="https://uacm.edu.mx/organizacion/tesoreria" TargetMode="External"/><Relationship Id="rId1316" Type="http://schemas.openxmlformats.org/officeDocument/2006/relationships/hyperlink" Target="https://uacm.edu.mx/organizacion/tesoreria" TargetMode="External"/><Relationship Id="rId1523" Type="http://schemas.openxmlformats.org/officeDocument/2006/relationships/hyperlink" Target="https://uacm.edu.mx/organizacion/tesoreria" TargetMode="External"/><Relationship Id="rId22" Type="http://schemas.openxmlformats.org/officeDocument/2006/relationships/hyperlink" Target="https://uacm.edu.mx/organizacion/tesoreria" TargetMode="External"/><Relationship Id="rId118" Type="http://schemas.openxmlformats.org/officeDocument/2006/relationships/hyperlink" Target="https://uacm.edu.mx/organizacion/tesoreria" TargetMode="External"/><Relationship Id="rId325" Type="http://schemas.openxmlformats.org/officeDocument/2006/relationships/hyperlink" Target="https://uacm.edu.mx/organizacion/tesoreria" TargetMode="External"/><Relationship Id="rId532" Type="http://schemas.openxmlformats.org/officeDocument/2006/relationships/hyperlink" Target="https://uacm.edu.mx/organizacion/tesoreria" TargetMode="External"/><Relationship Id="rId977" Type="http://schemas.openxmlformats.org/officeDocument/2006/relationships/hyperlink" Target="https://uacm.edu.mx/organizacion/tesoreria" TargetMode="External"/><Relationship Id="rId1162" Type="http://schemas.openxmlformats.org/officeDocument/2006/relationships/hyperlink" Target="https://uacm.edu.mx/organizacion/tesoreria" TargetMode="External"/><Relationship Id="rId171" Type="http://schemas.openxmlformats.org/officeDocument/2006/relationships/hyperlink" Target="https://uacm.edu.mx/organizacion/tesoreria" TargetMode="External"/><Relationship Id="rId837" Type="http://schemas.openxmlformats.org/officeDocument/2006/relationships/hyperlink" Target="https://uacm.edu.mx/organizacion/tesoreria" TargetMode="External"/><Relationship Id="rId1022" Type="http://schemas.openxmlformats.org/officeDocument/2006/relationships/hyperlink" Target="https://uacm.edu.mx/organizacion/tesoreria" TargetMode="External"/><Relationship Id="rId1467" Type="http://schemas.openxmlformats.org/officeDocument/2006/relationships/hyperlink" Target="https://uacm.edu.mx/organizacion/tesoreria" TargetMode="External"/><Relationship Id="rId269" Type="http://schemas.openxmlformats.org/officeDocument/2006/relationships/hyperlink" Target="https://uacm.edu.mx/organizacion/tesoreria" TargetMode="External"/><Relationship Id="rId476" Type="http://schemas.openxmlformats.org/officeDocument/2006/relationships/hyperlink" Target="https://uacm.edu.mx/organizacion/tesoreria" TargetMode="External"/><Relationship Id="rId683" Type="http://schemas.openxmlformats.org/officeDocument/2006/relationships/hyperlink" Target="https://uacm.edu.mx/organizacion/tesoreria" TargetMode="External"/><Relationship Id="rId890" Type="http://schemas.openxmlformats.org/officeDocument/2006/relationships/hyperlink" Target="https://uacm.edu.mx/organizacion/tesoreria" TargetMode="External"/><Relationship Id="rId904" Type="http://schemas.openxmlformats.org/officeDocument/2006/relationships/hyperlink" Target="https://uacm.edu.mx/organizacion/tesoreria" TargetMode="External"/><Relationship Id="rId1327" Type="http://schemas.openxmlformats.org/officeDocument/2006/relationships/hyperlink" Target="https://uacm.edu.mx/organizacion/tesoreria" TargetMode="External"/><Relationship Id="rId1534" Type="http://schemas.openxmlformats.org/officeDocument/2006/relationships/hyperlink" Target="https://uacm.edu.mx/organizacion/tesoreria" TargetMode="External"/><Relationship Id="rId33" Type="http://schemas.openxmlformats.org/officeDocument/2006/relationships/hyperlink" Target="https://uacm.edu.mx/organizacion/tesoreria" TargetMode="External"/><Relationship Id="rId129" Type="http://schemas.openxmlformats.org/officeDocument/2006/relationships/hyperlink" Target="https://uacm.edu.mx/organizacion/tesoreria" TargetMode="External"/><Relationship Id="rId336" Type="http://schemas.openxmlformats.org/officeDocument/2006/relationships/hyperlink" Target="https://uacm.edu.mx/organizacion/tesoreria" TargetMode="External"/><Relationship Id="rId543" Type="http://schemas.openxmlformats.org/officeDocument/2006/relationships/hyperlink" Target="https://uacm.edu.mx/organizacion/tesoreria" TargetMode="External"/><Relationship Id="rId988" Type="http://schemas.openxmlformats.org/officeDocument/2006/relationships/hyperlink" Target="https://uacm.edu.mx/organizacion/tesoreria" TargetMode="External"/><Relationship Id="rId1173" Type="http://schemas.openxmlformats.org/officeDocument/2006/relationships/hyperlink" Target="https://uacm.edu.mx/organizacion/tesoreria" TargetMode="External"/><Relationship Id="rId1380" Type="http://schemas.openxmlformats.org/officeDocument/2006/relationships/hyperlink" Target="https://uacm.edu.mx/organizacion/tesoreria" TargetMode="External"/><Relationship Id="rId182" Type="http://schemas.openxmlformats.org/officeDocument/2006/relationships/hyperlink" Target="https://uacm.edu.mx/organizacion/tesoreria" TargetMode="External"/><Relationship Id="rId403" Type="http://schemas.openxmlformats.org/officeDocument/2006/relationships/hyperlink" Target="https://uacm.edu.mx/organizacion/tesoreria" TargetMode="External"/><Relationship Id="rId750" Type="http://schemas.openxmlformats.org/officeDocument/2006/relationships/hyperlink" Target="https://uacm.edu.mx/organizacion/tesoreria" TargetMode="External"/><Relationship Id="rId848" Type="http://schemas.openxmlformats.org/officeDocument/2006/relationships/hyperlink" Target="https://uacm.edu.mx/organizacion/tesoreria" TargetMode="External"/><Relationship Id="rId1033" Type="http://schemas.openxmlformats.org/officeDocument/2006/relationships/hyperlink" Target="https://uacm.edu.mx/organizacion/tesoreria" TargetMode="External"/><Relationship Id="rId1478" Type="http://schemas.openxmlformats.org/officeDocument/2006/relationships/hyperlink" Target="https://uacm.edu.mx/organizacion/tesoreria" TargetMode="External"/><Relationship Id="rId487" Type="http://schemas.openxmlformats.org/officeDocument/2006/relationships/hyperlink" Target="https://uacm.edu.mx/organizacion/tesoreria" TargetMode="External"/><Relationship Id="rId610" Type="http://schemas.openxmlformats.org/officeDocument/2006/relationships/hyperlink" Target="https://uacm.edu.mx/organizacion/tesoreria" TargetMode="External"/><Relationship Id="rId694" Type="http://schemas.openxmlformats.org/officeDocument/2006/relationships/hyperlink" Target="https://uacm.edu.mx/organizacion/tesoreria" TargetMode="External"/><Relationship Id="rId708" Type="http://schemas.openxmlformats.org/officeDocument/2006/relationships/hyperlink" Target="https://uacm.edu.mx/organizacion/tesoreria" TargetMode="External"/><Relationship Id="rId915" Type="http://schemas.openxmlformats.org/officeDocument/2006/relationships/hyperlink" Target="https://uacm.edu.mx/organizacion/tesoreria" TargetMode="External"/><Relationship Id="rId1240" Type="http://schemas.openxmlformats.org/officeDocument/2006/relationships/hyperlink" Target="https://uacm.edu.mx/organizacion/tesoreria" TargetMode="External"/><Relationship Id="rId1338" Type="http://schemas.openxmlformats.org/officeDocument/2006/relationships/hyperlink" Target="https://uacm.edu.mx/organizacion/tesoreria" TargetMode="External"/><Relationship Id="rId1545" Type="http://schemas.openxmlformats.org/officeDocument/2006/relationships/hyperlink" Target="https://uacm.edu.mx/organizacion/tesoreria" TargetMode="External"/><Relationship Id="rId347" Type="http://schemas.openxmlformats.org/officeDocument/2006/relationships/hyperlink" Target="https://uacm.edu.mx/organizacion/tesoreria" TargetMode="External"/><Relationship Id="rId999" Type="http://schemas.openxmlformats.org/officeDocument/2006/relationships/hyperlink" Target="https://uacm.edu.mx/organizacion/tesoreria" TargetMode="External"/><Relationship Id="rId1100" Type="http://schemas.openxmlformats.org/officeDocument/2006/relationships/hyperlink" Target="https://uacm.edu.mx/organizacion/tesoreria" TargetMode="External"/><Relationship Id="rId1184" Type="http://schemas.openxmlformats.org/officeDocument/2006/relationships/hyperlink" Target="https://uacm.edu.mx/organizacion/tesoreria" TargetMode="External"/><Relationship Id="rId1405" Type="http://schemas.openxmlformats.org/officeDocument/2006/relationships/hyperlink" Target="https://uacm.edu.mx/organizacion/tesoreria" TargetMode="External"/><Relationship Id="rId44" Type="http://schemas.openxmlformats.org/officeDocument/2006/relationships/hyperlink" Target="https://uacm.edu.mx/organizacion/tesoreria" TargetMode="External"/><Relationship Id="rId554" Type="http://schemas.openxmlformats.org/officeDocument/2006/relationships/hyperlink" Target="https://uacm.edu.mx/organizacion/tesoreria" TargetMode="External"/><Relationship Id="rId761" Type="http://schemas.openxmlformats.org/officeDocument/2006/relationships/hyperlink" Target="https://uacm.edu.mx/organizacion/tesoreria" TargetMode="External"/><Relationship Id="rId859" Type="http://schemas.openxmlformats.org/officeDocument/2006/relationships/hyperlink" Target="https://uacm.edu.mx/organizacion/tesoreria" TargetMode="External"/><Relationship Id="rId1391" Type="http://schemas.openxmlformats.org/officeDocument/2006/relationships/hyperlink" Target="https://uacm.edu.mx/organizacion/tesoreria" TargetMode="External"/><Relationship Id="rId1489" Type="http://schemas.openxmlformats.org/officeDocument/2006/relationships/hyperlink" Target="https://uacm.edu.mx/organizacion/tesoreria" TargetMode="External"/><Relationship Id="rId193" Type="http://schemas.openxmlformats.org/officeDocument/2006/relationships/hyperlink" Target="https://uacm.edu.mx/organizacion/tesoreria" TargetMode="External"/><Relationship Id="rId207" Type="http://schemas.openxmlformats.org/officeDocument/2006/relationships/hyperlink" Target="https://uacm.edu.mx/organizacion/tesoreria" TargetMode="External"/><Relationship Id="rId414" Type="http://schemas.openxmlformats.org/officeDocument/2006/relationships/hyperlink" Target="https://uacm.edu.mx/organizacion/tesoreria" TargetMode="External"/><Relationship Id="rId498" Type="http://schemas.openxmlformats.org/officeDocument/2006/relationships/hyperlink" Target="https://uacm.edu.mx/organizacion/tesoreria" TargetMode="External"/><Relationship Id="rId621" Type="http://schemas.openxmlformats.org/officeDocument/2006/relationships/hyperlink" Target="https://uacm.edu.mx/organizacion/tesoreria" TargetMode="External"/><Relationship Id="rId1044" Type="http://schemas.openxmlformats.org/officeDocument/2006/relationships/hyperlink" Target="https://uacm.edu.mx/organizacion/tesoreria" TargetMode="External"/><Relationship Id="rId1251" Type="http://schemas.openxmlformats.org/officeDocument/2006/relationships/hyperlink" Target="https://uacm.edu.mx/organizacion/tesoreria" TargetMode="External"/><Relationship Id="rId1349" Type="http://schemas.openxmlformats.org/officeDocument/2006/relationships/hyperlink" Target="https://uacm.edu.mx/organizacion/tesoreria" TargetMode="External"/><Relationship Id="rId260" Type="http://schemas.openxmlformats.org/officeDocument/2006/relationships/hyperlink" Target="https://uacm.edu.mx/organizacion/tesoreria" TargetMode="External"/><Relationship Id="rId719" Type="http://schemas.openxmlformats.org/officeDocument/2006/relationships/hyperlink" Target="https://uacm.edu.mx/organizacion/tesoreria" TargetMode="External"/><Relationship Id="rId926" Type="http://schemas.openxmlformats.org/officeDocument/2006/relationships/hyperlink" Target="https://uacm.edu.mx/organizacion/tesoreria" TargetMode="External"/><Relationship Id="rId1111" Type="http://schemas.openxmlformats.org/officeDocument/2006/relationships/hyperlink" Target="https://uacm.edu.mx/organizacion/tesoreria" TargetMode="External"/><Relationship Id="rId55" Type="http://schemas.openxmlformats.org/officeDocument/2006/relationships/hyperlink" Target="https://uacm.edu.mx/organizacion/tesoreria" TargetMode="External"/><Relationship Id="rId120" Type="http://schemas.openxmlformats.org/officeDocument/2006/relationships/hyperlink" Target="https://uacm.edu.mx/organizacion/tesoreria" TargetMode="External"/><Relationship Id="rId358" Type="http://schemas.openxmlformats.org/officeDocument/2006/relationships/hyperlink" Target="https://uacm.edu.mx/organizacion/tesoreria" TargetMode="External"/><Relationship Id="rId565" Type="http://schemas.openxmlformats.org/officeDocument/2006/relationships/hyperlink" Target="https://uacm.edu.mx/organizacion/tesoreria" TargetMode="External"/><Relationship Id="rId772" Type="http://schemas.openxmlformats.org/officeDocument/2006/relationships/hyperlink" Target="https://uacm.edu.mx/organizacion/tesoreria" TargetMode="External"/><Relationship Id="rId1195" Type="http://schemas.openxmlformats.org/officeDocument/2006/relationships/hyperlink" Target="https://uacm.edu.mx/organizacion/tesoreria" TargetMode="External"/><Relationship Id="rId1209" Type="http://schemas.openxmlformats.org/officeDocument/2006/relationships/hyperlink" Target="https://uacm.edu.mx/organizacion/tesoreria" TargetMode="External"/><Relationship Id="rId1416" Type="http://schemas.openxmlformats.org/officeDocument/2006/relationships/hyperlink" Target="https://uacm.edu.mx/organizacion/tesoreria" TargetMode="External"/><Relationship Id="rId218" Type="http://schemas.openxmlformats.org/officeDocument/2006/relationships/hyperlink" Target="https://uacm.edu.mx/organizacion/tesoreria" TargetMode="External"/><Relationship Id="rId425" Type="http://schemas.openxmlformats.org/officeDocument/2006/relationships/hyperlink" Target="https://uacm.edu.mx/organizacion/tesoreria" TargetMode="External"/><Relationship Id="rId632" Type="http://schemas.openxmlformats.org/officeDocument/2006/relationships/hyperlink" Target="https://uacm.edu.mx/organizacion/tesoreria" TargetMode="External"/><Relationship Id="rId1055" Type="http://schemas.openxmlformats.org/officeDocument/2006/relationships/hyperlink" Target="https://uacm.edu.mx/organizacion/tesoreria" TargetMode="External"/><Relationship Id="rId1262" Type="http://schemas.openxmlformats.org/officeDocument/2006/relationships/hyperlink" Target="https://uacm.edu.mx/organizacion/tesoreria" TargetMode="External"/><Relationship Id="rId271" Type="http://schemas.openxmlformats.org/officeDocument/2006/relationships/hyperlink" Target="https://uacm.edu.mx/organizacion/tesoreria" TargetMode="External"/><Relationship Id="rId937" Type="http://schemas.openxmlformats.org/officeDocument/2006/relationships/hyperlink" Target="https://uacm.edu.mx/organizacion/tesoreria" TargetMode="External"/><Relationship Id="rId1122" Type="http://schemas.openxmlformats.org/officeDocument/2006/relationships/hyperlink" Target="https://uacm.edu.mx/organizacion/tesoreria" TargetMode="External"/><Relationship Id="rId66" Type="http://schemas.openxmlformats.org/officeDocument/2006/relationships/hyperlink" Target="https://uacm.edu.mx/organizacion/tesoreria" TargetMode="External"/><Relationship Id="rId131" Type="http://schemas.openxmlformats.org/officeDocument/2006/relationships/hyperlink" Target="https://uacm.edu.mx/organizacion/tesoreria" TargetMode="External"/><Relationship Id="rId369" Type="http://schemas.openxmlformats.org/officeDocument/2006/relationships/hyperlink" Target="https://uacm.edu.mx/organizacion/tesoreria" TargetMode="External"/><Relationship Id="rId576" Type="http://schemas.openxmlformats.org/officeDocument/2006/relationships/hyperlink" Target="https://uacm.edu.mx/organizacion/tesoreria" TargetMode="External"/><Relationship Id="rId783" Type="http://schemas.openxmlformats.org/officeDocument/2006/relationships/hyperlink" Target="https://uacm.edu.mx/organizacion/tesoreria" TargetMode="External"/><Relationship Id="rId990" Type="http://schemas.openxmlformats.org/officeDocument/2006/relationships/hyperlink" Target="https://uacm.edu.mx/organizacion/tesoreria" TargetMode="External"/><Relationship Id="rId1427" Type="http://schemas.openxmlformats.org/officeDocument/2006/relationships/hyperlink" Target="https://uacm.edu.mx/organizacion/tesoreria" TargetMode="External"/><Relationship Id="rId229" Type="http://schemas.openxmlformats.org/officeDocument/2006/relationships/hyperlink" Target="https://uacm.edu.mx/organizacion/tesoreria" TargetMode="External"/><Relationship Id="rId436" Type="http://schemas.openxmlformats.org/officeDocument/2006/relationships/hyperlink" Target="https://uacm.edu.mx/organizacion/tesoreria" TargetMode="External"/><Relationship Id="rId643" Type="http://schemas.openxmlformats.org/officeDocument/2006/relationships/hyperlink" Target="https://uacm.edu.mx/organizacion/tesoreria" TargetMode="External"/><Relationship Id="rId1066" Type="http://schemas.openxmlformats.org/officeDocument/2006/relationships/hyperlink" Target="https://uacm.edu.mx/organizacion/tesoreria" TargetMode="External"/><Relationship Id="rId1273" Type="http://schemas.openxmlformats.org/officeDocument/2006/relationships/hyperlink" Target="https://uacm.edu.mx/organizacion/tesoreria" TargetMode="External"/><Relationship Id="rId1480" Type="http://schemas.openxmlformats.org/officeDocument/2006/relationships/hyperlink" Target="https://uacm.edu.mx/organizacion/tesoreria" TargetMode="External"/><Relationship Id="rId850" Type="http://schemas.openxmlformats.org/officeDocument/2006/relationships/hyperlink" Target="https://uacm.edu.mx/organizacion/tesoreria" TargetMode="External"/><Relationship Id="rId948" Type="http://schemas.openxmlformats.org/officeDocument/2006/relationships/hyperlink" Target="https://uacm.edu.mx/organizacion/tesoreria" TargetMode="External"/><Relationship Id="rId1133" Type="http://schemas.openxmlformats.org/officeDocument/2006/relationships/hyperlink" Target="https://uacm.edu.mx/organizacion/tesoreria" TargetMode="External"/><Relationship Id="rId77" Type="http://schemas.openxmlformats.org/officeDocument/2006/relationships/hyperlink" Target="https://uacm.edu.mx/organizacion/tesoreria" TargetMode="External"/><Relationship Id="rId282" Type="http://schemas.openxmlformats.org/officeDocument/2006/relationships/hyperlink" Target="https://uacm.edu.mx/organizacion/tesoreria" TargetMode="External"/><Relationship Id="rId503" Type="http://schemas.openxmlformats.org/officeDocument/2006/relationships/hyperlink" Target="https://uacm.edu.mx/organizacion/tesoreria" TargetMode="External"/><Relationship Id="rId587" Type="http://schemas.openxmlformats.org/officeDocument/2006/relationships/hyperlink" Target="https://uacm.edu.mx/organizacion/tesoreria" TargetMode="External"/><Relationship Id="rId710" Type="http://schemas.openxmlformats.org/officeDocument/2006/relationships/hyperlink" Target="https://uacm.edu.mx/organizacion/tesoreria" TargetMode="External"/><Relationship Id="rId808" Type="http://schemas.openxmlformats.org/officeDocument/2006/relationships/hyperlink" Target="https://uacm.edu.mx/organizacion/tesoreria" TargetMode="External"/><Relationship Id="rId1340" Type="http://schemas.openxmlformats.org/officeDocument/2006/relationships/hyperlink" Target="https://uacm.edu.mx/organizacion/tesoreria" TargetMode="External"/><Relationship Id="rId1438" Type="http://schemas.openxmlformats.org/officeDocument/2006/relationships/hyperlink" Target="https://uacm.edu.mx/organizacion/tesoreria" TargetMode="External"/><Relationship Id="rId8" Type="http://schemas.openxmlformats.org/officeDocument/2006/relationships/hyperlink" Target="https://uacm.edu.mx/organizacion/tesoreria" TargetMode="External"/><Relationship Id="rId142" Type="http://schemas.openxmlformats.org/officeDocument/2006/relationships/hyperlink" Target="https://uacm.edu.mx/organizacion/tesoreria" TargetMode="External"/><Relationship Id="rId447" Type="http://schemas.openxmlformats.org/officeDocument/2006/relationships/hyperlink" Target="https://uacm.edu.mx/organizacion/tesoreria" TargetMode="External"/><Relationship Id="rId794" Type="http://schemas.openxmlformats.org/officeDocument/2006/relationships/hyperlink" Target="https://uacm.edu.mx/organizacion/tesoreria" TargetMode="External"/><Relationship Id="rId1077" Type="http://schemas.openxmlformats.org/officeDocument/2006/relationships/hyperlink" Target="https://uacm.edu.mx/organizacion/tesoreria" TargetMode="External"/><Relationship Id="rId1200" Type="http://schemas.openxmlformats.org/officeDocument/2006/relationships/hyperlink" Target="https://uacm.edu.mx/organizacion/tesoreria" TargetMode="External"/><Relationship Id="rId654" Type="http://schemas.openxmlformats.org/officeDocument/2006/relationships/hyperlink" Target="https://uacm.edu.mx/organizacion/tesoreria" TargetMode="External"/><Relationship Id="rId861" Type="http://schemas.openxmlformats.org/officeDocument/2006/relationships/hyperlink" Target="https://uacm.edu.mx/organizacion/tesoreria" TargetMode="External"/><Relationship Id="rId959" Type="http://schemas.openxmlformats.org/officeDocument/2006/relationships/hyperlink" Target="https://uacm.edu.mx/organizacion/tesoreria" TargetMode="External"/><Relationship Id="rId1284" Type="http://schemas.openxmlformats.org/officeDocument/2006/relationships/hyperlink" Target="https://uacm.edu.mx/organizacion/tesoreria" TargetMode="External"/><Relationship Id="rId1491" Type="http://schemas.openxmlformats.org/officeDocument/2006/relationships/hyperlink" Target="https://uacm.edu.mx/organizacion/tesoreria" TargetMode="External"/><Relationship Id="rId1505" Type="http://schemas.openxmlformats.org/officeDocument/2006/relationships/hyperlink" Target="https://uacm.edu.mx/organizacion/tesoreria" TargetMode="External"/><Relationship Id="rId293" Type="http://schemas.openxmlformats.org/officeDocument/2006/relationships/hyperlink" Target="https://uacm.edu.mx/organizacion/tesoreria" TargetMode="External"/><Relationship Id="rId307" Type="http://schemas.openxmlformats.org/officeDocument/2006/relationships/hyperlink" Target="https://uacm.edu.mx/organizacion/tesoreria" TargetMode="External"/><Relationship Id="rId514" Type="http://schemas.openxmlformats.org/officeDocument/2006/relationships/hyperlink" Target="https://uacm.edu.mx/organizacion/tesoreria" TargetMode="External"/><Relationship Id="rId721" Type="http://schemas.openxmlformats.org/officeDocument/2006/relationships/hyperlink" Target="https://uacm.edu.mx/organizacion/tesoreria" TargetMode="External"/><Relationship Id="rId1144" Type="http://schemas.openxmlformats.org/officeDocument/2006/relationships/hyperlink" Target="https://uacm.edu.mx/organizacion/tesoreria" TargetMode="External"/><Relationship Id="rId1351" Type="http://schemas.openxmlformats.org/officeDocument/2006/relationships/hyperlink" Target="https://uacm.edu.mx/organizacion/tesoreria" TargetMode="External"/><Relationship Id="rId1449" Type="http://schemas.openxmlformats.org/officeDocument/2006/relationships/hyperlink" Target="https://uacm.edu.mx/organizacion/tesoreria" TargetMode="External"/><Relationship Id="rId88" Type="http://schemas.openxmlformats.org/officeDocument/2006/relationships/hyperlink" Target="https://uacm.edu.mx/organizacion/tesoreria" TargetMode="External"/><Relationship Id="rId153" Type="http://schemas.openxmlformats.org/officeDocument/2006/relationships/hyperlink" Target="https://uacm.edu.mx/organizacion/tesoreria" TargetMode="External"/><Relationship Id="rId360" Type="http://schemas.openxmlformats.org/officeDocument/2006/relationships/hyperlink" Target="https://uacm.edu.mx/organizacion/tesoreria" TargetMode="External"/><Relationship Id="rId598" Type="http://schemas.openxmlformats.org/officeDocument/2006/relationships/hyperlink" Target="https://uacm.edu.mx/organizacion/tesoreria" TargetMode="External"/><Relationship Id="rId819" Type="http://schemas.openxmlformats.org/officeDocument/2006/relationships/hyperlink" Target="https://uacm.edu.mx/organizacion/tesoreria" TargetMode="External"/><Relationship Id="rId1004" Type="http://schemas.openxmlformats.org/officeDocument/2006/relationships/hyperlink" Target="https://uacm.edu.mx/organizacion/tesoreria" TargetMode="External"/><Relationship Id="rId1211" Type="http://schemas.openxmlformats.org/officeDocument/2006/relationships/hyperlink" Target="https://uacm.edu.mx/organizacion/tesoreria" TargetMode="External"/><Relationship Id="rId220" Type="http://schemas.openxmlformats.org/officeDocument/2006/relationships/hyperlink" Target="https://uacm.edu.mx/organizacion/tesoreria" TargetMode="External"/><Relationship Id="rId458" Type="http://schemas.openxmlformats.org/officeDocument/2006/relationships/hyperlink" Target="https://uacm.edu.mx/organizacion/tesoreria" TargetMode="External"/><Relationship Id="rId665" Type="http://schemas.openxmlformats.org/officeDocument/2006/relationships/hyperlink" Target="https://uacm.edu.mx/organizacion/tesoreria" TargetMode="External"/><Relationship Id="rId872" Type="http://schemas.openxmlformats.org/officeDocument/2006/relationships/hyperlink" Target="https://uacm.edu.mx/organizacion/tesoreria" TargetMode="External"/><Relationship Id="rId1088" Type="http://schemas.openxmlformats.org/officeDocument/2006/relationships/hyperlink" Target="https://uacm.edu.mx/organizacion/tesoreria" TargetMode="External"/><Relationship Id="rId1295" Type="http://schemas.openxmlformats.org/officeDocument/2006/relationships/hyperlink" Target="https://uacm.edu.mx/organizacion/tesoreria" TargetMode="External"/><Relationship Id="rId1309" Type="http://schemas.openxmlformats.org/officeDocument/2006/relationships/hyperlink" Target="https://uacm.edu.mx/organizacion/tesoreria" TargetMode="External"/><Relationship Id="rId1516" Type="http://schemas.openxmlformats.org/officeDocument/2006/relationships/hyperlink" Target="https://uacm.edu.mx/organizacion/tesoreria" TargetMode="External"/><Relationship Id="rId15" Type="http://schemas.openxmlformats.org/officeDocument/2006/relationships/hyperlink" Target="https://uacm.edu.mx/organizacion/tesoreria" TargetMode="External"/><Relationship Id="rId318" Type="http://schemas.openxmlformats.org/officeDocument/2006/relationships/hyperlink" Target="https://uacm.edu.mx/organizacion/tesoreria" TargetMode="External"/><Relationship Id="rId525" Type="http://schemas.openxmlformats.org/officeDocument/2006/relationships/hyperlink" Target="https://uacm.edu.mx/organizacion/tesoreria" TargetMode="External"/><Relationship Id="rId732" Type="http://schemas.openxmlformats.org/officeDocument/2006/relationships/hyperlink" Target="https://uacm.edu.mx/organizacion/tesoreria" TargetMode="External"/><Relationship Id="rId1155" Type="http://schemas.openxmlformats.org/officeDocument/2006/relationships/hyperlink" Target="https://uacm.edu.mx/organizacion/tesoreria" TargetMode="External"/><Relationship Id="rId1362" Type="http://schemas.openxmlformats.org/officeDocument/2006/relationships/hyperlink" Target="https://uacm.edu.mx/organizacion/tesoreria" TargetMode="External"/><Relationship Id="rId99" Type="http://schemas.openxmlformats.org/officeDocument/2006/relationships/hyperlink" Target="https://uacm.edu.mx/organizacion/tesoreria" TargetMode="External"/><Relationship Id="rId164" Type="http://schemas.openxmlformats.org/officeDocument/2006/relationships/hyperlink" Target="https://uacm.edu.mx/organizacion/tesoreria" TargetMode="External"/><Relationship Id="rId371" Type="http://schemas.openxmlformats.org/officeDocument/2006/relationships/hyperlink" Target="https://uacm.edu.mx/organizacion/tesoreria" TargetMode="External"/><Relationship Id="rId1015" Type="http://schemas.openxmlformats.org/officeDocument/2006/relationships/hyperlink" Target="https://uacm.edu.mx/organizacion/tesoreria" TargetMode="External"/><Relationship Id="rId1222" Type="http://schemas.openxmlformats.org/officeDocument/2006/relationships/hyperlink" Target="https://uacm.edu.mx/organizacion/tesoreria" TargetMode="External"/><Relationship Id="rId469" Type="http://schemas.openxmlformats.org/officeDocument/2006/relationships/hyperlink" Target="https://uacm.edu.mx/organizacion/tesoreria" TargetMode="External"/><Relationship Id="rId676" Type="http://schemas.openxmlformats.org/officeDocument/2006/relationships/hyperlink" Target="https://uacm.edu.mx/organizacion/tesoreria" TargetMode="External"/><Relationship Id="rId883" Type="http://schemas.openxmlformats.org/officeDocument/2006/relationships/hyperlink" Target="https://uacm.edu.mx/organizacion/tesoreria" TargetMode="External"/><Relationship Id="rId1099" Type="http://schemas.openxmlformats.org/officeDocument/2006/relationships/hyperlink" Target="https://uacm.edu.mx/organizacion/tesoreria" TargetMode="External"/><Relationship Id="rId1527" Type="http://schemas.openxmlformats.org/officeDocument/2006/relationships/hyperlink" Target="https://uacm.edu.mx/organizacion/tesoreria" TargetMode="External"/><Relationship Id="rId26" Type="http://schemas.openxmlformats.org/officeDocument/2006/relationships/hyperlink" Target="https://uacm.edu.mx/organizacion/tesoreria" TargetMode="External"/><Relationship Id="rId231" Type="http://schemas.openxmlformats.org/officeDocument/2006/relationships/hyperlink" Target="https://uacm.edu.mx/organizacion/tesoreria" TargetMode="External"/><Relationship Id="rId329" Type="http://schemas.openxmlformats.org/officeDocument/2006/relationships/hyperlink" Target="https://uacm.edu.mx/organizacion/tesoreria" TargetMode="External"/><Relationship Id="rId536" Type="http://schemas.openxmlformats.org/officeDocument/2006/relationships/hyperlink" Target="https://uacm.edu.mx/organizacion/tesoreria" TargetMode="External"/><Relationship Id="rId1166" Type="http://schemas.openxmlformats.org/officeDocument/2006/relationships/hyperlink" Target="https://uacm.edu.mx/organizacion/tesoreria" TargetMode="External"/><Relationship Id="rId1373" Type="http://schemas.openxmlformats.org/officeDocument/2006/relationships/hyperlink" Target="https://uacm.edu.mx/organizacion/tesoreria" TargetMode="External"/><Relationship Id="rId175" Type="http://schemas.openxmlformats.org/officeDocument/2006/relationships/hyperlink" Target="https://uacm.edu.mx/organizacion/tesoreria" TargetMode="External"/><Relationship Id="rId743" Type="http://schemas.openxmlformats.org/officeDocument/2006/relationships/hyperlink" Target="https://uacm.edu.mx/organizacion/tesoreria" TargetMode="External"/><Relationship Id="rId950" Type="http://schemas.openxmlformats.org/officeDocument/2006/relationships/hyperlink" Target="https://uacm.edu.mx/organizacion/tesoreria" TargetMode="External"/><Relationship Id="rId1026" Type="http://schemas.openxmlformats.org/officeDocument/2006/relationships/hyperlink" Target="https://uacm.edu.mx/organizacion/tesoreria" TargetMode="External"/><Relationship Id="rId382" Type="http://schemas.openxmlformats.org/officeDocument/2006/relationships/hyperlink" Target="https://uacm.edu.mx/organizacion/tesoreria" TargetMode="External"/><Relationship Id="rId603" Type="http://schemas.openxmlformats.org/officeDocument/2006/relationships/hyperlink" Target="https://uacm.edu.mx/organizacion/tesoreria" TargetMode="External"/><Relationship Id="rId687" Type="http://schemas.openxmlformats.org/officeDocument/2006/relationships/hyperlink" Target="https://uacm.edu.mx/organizacion/tesoreria" TargetMode="External"/><Relationship Id="rId810" Type="http://schemas.openxmlformats.org/officeDocument/2006/relationships/hyperlink" Target="https://uacm.edu.mx/organizacion/tesoreria" TargetMode="External"/><Relationship Id="rId908" Type="http://schemas.openxmlformats.org/officeDocument/2006/relationships/hyperlink" Target="https://uacm.edu.mx/organizacion/tesoreria" TargetMode="External"/><Relationship Id="rId1233" Type="http://schemas.openxmlformats.org/officeDocument/2006/relationships/hyperlink" Target="https://uacm.edu.mx/organizacion/tesoreria" TargetMode="External"/><Relationship Id="rId1440" Type="http://schemas.openxmlformats.org/officeDocument/2006/relationships/hyperlink" Target="https://uacm.edu.mx/organizacion/tesoreria" TargetMode="External"/><Relationship Id="rId1538" Type="http://schemas.openxmlformats.org/officeDocument/2006/relationships/hyperlink" Target="https://uacm.edu.mx/organizacion/tesoreria" TargetMode="External"/><Relationship Id="rId242" Type="http://schemas.openxmlformats.org/officeDocument/2006/relationships/hyperlink" Target="https://uacm.edu.mx/organizacion/tesoreria" TargetMode="External"/><Relationship Id="rId894" Type="http://schemas.openxmlformats.org/officeDocument/2006/relationships/hyperlink" Target="https://uacm.edu.mx/organizacion/tesoreria" TargetMode="External"/><Relationship Id="rId1177" Type="http://schemas.openxmlformats.org/officeDocument/2006/relationships/hyperlink" Target="https://uacm.edu.mx/organizacion/tesoreria" TargetMode="External"/><Relationship Id="rId1300" Type="http://schemas.openxmlformats.org/officeDocument/2006/relationships/hyperlink" Target="https://uacm.edu.mx/organizacion/tesoreria" TargetMode="External"/><Relationship Id="rId37" Type="http://schemas.openxmlformats.org/officeDocument/2006/relationships/hyperlink" Target="https://uacm.edu.mx/organizacion/tesoreria" TargetMode="External"/><Relationship Id="rId102" Type="http://schemas.openxmlformats.org/officeDocument/2006/relationships/hyperlink" Target="https://uacm.edu.mx/organizacion/tesoreria" TargetMode="External"/><Relationship Id="rId547" Type="http://schemas.openxmlformats.org/officeDocument/2006/relationships/hyperlink" Target="https://uacm.edu.mx/organizacion/tesoreria" TargetMode="External"/><Relationship Id="rId754" Type="http://schemas.openxmlformats.org/officeDocument/2006/relationships/hyperlink" Target="https://uacm.edu.mx/organizacion/tesoreria" TargetMode="External"/><Relationship Id="rId961" Type="http://schemas.openxmlformats.org/officeDocument/2006/relationships/hyperlink" Target="https://uacm.edu.mx/organizacion/tesoreria" TargetMode="External"/><Relationship Id="rId1384" Type="http://schemas.openxmlformats.org/officeDocument/2006/relationships/hyperlink" Target="https://uacm.edu.mx/organizacion/tesoreria" TargetMode="External"/><Relationship Id="rId90" Type="http://schemas.openxmlformats.org/officeDocument/2006/relationships/hyperlink" Target="https://uacm.edu.mx/organizacion/tesoreria" TargetMode="External"/><Relationship Id="rId186" Type="http://schemas.openxmlformats.org/officeDocument/2006/relationships/hyperlink" Target="https://uacm.edu.mx/organizacion/tesoreria" TargetMode="External"/><Relationship Id="rId393" Type="http://schemas.openxmlformats.org/officeDocument/2006/relationships/hyperlink" Target="https://uacm.edu.mx/organizacion/tesoreria" TargetMode="External"/><Relationship Id="rId407" Type="http://schemas.openxmlformats.org/officeDocument/2006/relationships/hyperlink" Target="https://uacm.edu.mx/organizacion/tesoreria" TargetMode="External"/><Relationship Id="rId614" Type="http://schemas.openxmlformats.org/officeDocument/2006/relationships/hyperlink" Target="https://uacm.edu.mx/organizacion/tesoreria" TargetMode="External"/><Relationship Id="rId821" Type="http://schemas.openxmlformats.org/officeDocument/2006/relationships/hyperlink" Target="https://uacm.edu.mx/organizacion/tesoreria" TargetMode="External"/><Relationship Id="rId1037" Type="http://schemas.openxmlformats.org/officeDocument/2006/relationships/hyperlink" Target="https://uacm.edu.mx/organizacion/tesoreria" TargetMode="External"/><Relationship Id="rId1244" Type="http://schemas.openxmlformats.org/officeDocument/2006/relationships/hyperlink" Target="https://uacm.edu.mx/organizacion/tesoreria" TargetMode="External"/><Relationship Id="rId1451" Type="http://schemas.openxmlformats.org/officeDocument/2006/relationships/hyperlink" Target="https://uacm.edu.mx/organizacion/tesoreria" TargetMode="External"/><Relationship Id="rId253" Type="http://schemas.openxmlformats.org/officeDocument/2006/relationships/hyperlink" Target="https://uacm.edu.mx/organizacion/tesoreria" TargetMode="External"/><Relationship Id="rId460" Type="http://schemas.openxmlformats.org/officeDocument/2006/relationships/hyperlink" Target="https://uacm.edu.mx/organizacion/tesoreria" TargetMode="External"/><Relationship Id="rId698" Type="http://schemas.openxmlformats.org/officeDocument/2006/relationships/hyperlink" Target="https://uacm.edu.mx/organizacion/tesoreria" TargetMode="External"/><Relationship Id="rId919" Type="http://schemas.openxmlformats.org/officeDocument/2006/relationships/hyperlink" Target="https://uacm.edu.mx/organizacion/tesoreria" TargetMode="External"/><Relationship Id="rId1090" Type="http://schemas.openxmlformats.org/officeDocument/2006/relationships/hyperlink" Target="https://uacm.edu.mx/organizacion/tesoreria" TargetMode="External"/><Relationship Id="rId1104" Type="http://schemas.openxmlformats.org/officeDocument/2006/relationships/hyperlink" Target="https://uacm.edu.mx/organizacion/tesoreria" TargetMode="External"/><Relationship Id="rId1311" Type="http://schemas.openxmlformats.org/officeDocument/2006/relationships/hyperlink" Target="https://uacm.edu.mx/organizacion/tesoreria" TargetMode="External"/><Relationship Id="rId1549" Type="http://schemas.openxmlformats.org/officeDocument/2006/relationships/hyperlink" Target="https://uacm.edu.mx/organizacion/tesoreria" TargetMode="External"/><Relationship Id="rId48" Type="http://schemas.openxmlformats.org/officeDocument/2006/relationships/hyperlink" Target="https://uacm.edu.mx/organizacion/tesoreria" TargetMode="External"/><Relationship Id="rId113" Type="http://schemas.openxmlformats.org/officeDocument/2006/relationships/hyperlink" Target="https://uacm.edu.mx/organizacion/tesoreria" TargetMode="External"/><Relationship Id="rId320" Type="http://schemas.openxmlformats.org/officeDocument/2006/relationships/hyperlink" Target="https://uacm.edu.mx/organizacion/tesoreria" TargetMode="External"/><Relationship Id="rId558" Type="http://schemas.openxmlformats.org/officeDocument/2006/relationships/hyperlink" Target="https://uacm.edu.mx/organizacion/tesoreria" TargetMode="External"/><Relationship Id="rId765" Type="http://schemas.openxmlformats.org/officeDocument/2006/relationships/hyperlink" Target="https://uacm.edu.mx/organizacion/tesoreria" TargetMode="External"/><Relationship Id="rId972" Type="http://schemas.openxmlformats.org/officeDocument/2006/relationships/hyperlink" Target="https://uacm.edu.mx/organizacion/tesoreria" TargetMode="External"/><Relationship Id="rId1188" Type="http://schemas.openxmlformats.org/officeDocument/2006/relationships/hyperlink" Target="https://uacm.edu.mx/organizacion/tesoreria" TargetMode="External"/><Relationship Id="rId1395" Type="http://schemas.openxmlformats.org/officeDocument/2006/relationships/hyperlink" Target="https://uacm.edu.mx/organizacion/tesoreria" TargetMode="External"/><Relationship Id="rId1409" Type="http://schemas.openxmlformats.org/officeDocument/2006/relationships/hyperlink" Target="https://uacm.edu.mx/organizacion/tesoreria" TargetMode="External"/><Relationship Id="rId197" Type="http://schemas.openxmlformats.org/officeDocument/2006/relationships/hyperlink" Target="https://uacm.edu.mx/organizacion/tesoreria" TargetMode="External"/><Relationship Id="rId418" Type="http://schemas.openxmlformats.org/officeDocument/2006/relationships/hyperlink" Target="https://uacm.edu.mx/organizacion/tesoreria" TargetMode="External"/><Relationship Id="rId625" Type="http://schemas.openxmlformats.org/officeDocument/2006/relationships/hyperlink" Target="https://uacm.edu.mx/organizacion/tesoreria" TargetMode="External"/><Relationship Id="rId832" Type="http://schemas.openxmlformats.org/officeDocument/2006/relationships/hyperlink" Target="https://uacm.edu.mx/organizacion/tesoreria" TargetMode="External"/><Relationship Id="rId1048" Type="http://schemas.openxmlformats.org/officeDocument/2006/relationships/hyperlink" Target="https://uacm.edu.mx/organizacion/tesoreria" TargetMode="External"/><Relationship Id="rId1255" Type="http://schemas.openxmlformats.org/officeDocument/2006/relationships/hyperlink" Target="https://uacm.edu.mx/organizacion/tesoreria" TargetMode="External"/><Relationship Id="rId1462" Type="http://schemas.openxmlformats.org/officeDocument/2006/relationships/hyperlink" Target="https://uacm.edu.mx/organizacion/tesoreria" TargetMode="External"/><Relationship Id="rId264" Type="http://schemas.openxmlformats.org/officeDocument/2006/relationships/hyperlink" Target="https://uacm.edu.mx/organizacion/tesoreria" TargetMode="External"/><Relationship Id="rId471" Type="http://schemas.openxmlformats.org/officeDocument/2006/relationships/hyperlink" Target="https://uacm.edu.mx/organizacion/tesoreria" TargetMode="External"/><Relationship Id="rId1115" Type="http://schemas.openxmlformats.org/officeDocument/2006/relationships/hyperlink" Target="https://uacm.edu.mx/organizacion/tesoreria" TargetMode="External"/><Relationship Id="rId1322" Type="http://schemas.openxmlformats.org/officeDocument/2006/relationships/hyperlink" Target="https://uacm.edu.mx/organizacion/tesoreria" TargetMode="External"/><Relationship Id="rId59" Type="http://schemas.openxmlformats.org/officeDocument/2006/relationships/hyperlink" Target="https://uacm.edu.mx/organizacion/tesoreria" TargetMode="External"/><Relationship Id="rId124" Type="http://schemas.openxmlformats.org/officeDocument/2006/relationships/hyperlink" Target="https://uacm.edu.mx/organizacion/tesoreria" TargetMode="External"/><Relationship Id="rId569" Type="http://schemas.openxmlformats.org/officeDocument/2006/relationships/hyperlink" Target="https://uacm.edu.mx/organizacion/tesoreria" TargetMode="External"/><Relationship Id="rId776" Type="http://schemas.openxmlformats.org/officeDocument/2006/relationships/hyperlink" Target="https://uacm.edu.mx/organizacion/tesoreria" TargetMode="External"/><Relationship Id="rId983" Type="http://schemas.openxmlformats.org/officeDocument/2006/relationships/hyperlink" Target="https://uacm.edu.mx/organizacion/tesoreria" TargetMode="External"/><Relationship Id="rId1199" Type="http://schemas.openxmlformats.org/officeDocument/2006/relationships/hyperlink" Target="https://uacm.edu.mx/organizacion/tesoreria" TargetMode="External"/><Relationship Id="rId331" Type="http://schemas.openxmlformats.org/officeDocument/2006/relationships/hyperlink" Target="https://uacm.edu.mx/organizacion/tesoreria" TargetMode="External"/><Relationship Id="rId429" Type="http://schemas.openxmlformats.org/officeDocument/2006/relationships/hyperlink" Target="https://uacm.edu.mx/organizacion/tesoreria" TargetMode="External"/><Relationship Id="rId636" Type="http://schemas.openxmlformats.org/officeDocument/2006/relationships/hyperlink" Target="https://uacm.edu.mx/organizacion/tesoreria" TargetMode="External"/><Relationship Id="rId1059" Type="http://schemas.openxmlformats.org/officeDocument/2006/relationships/hyperlink" Target="https://uacm.edu.mx/organizacion/tesoreria" TargetMode="External"/><Relationship Id="rId1266" Type="http://schemas.openxmlformats.org/officeDocument/2006/relationships/hyperlink" Target="https://uacm.edu.mx/organizacion/tesoreria" TargetMode="External"/><Relationship Id="rId1473" Type="http://schemas.openxmlformats.org/officeDocument/2006/relationships/hyperlink" Target="https://uacm.edu.mx/organizacion/tesoreria" TargetMode="External"/><Relationship Id="rId843" Type="http://schemas.openxmlformats.org/officeDocument/2006/relationships/hyperlink" Target="https://uacm.edu.mx/organizacion/tesoreria" TargetMode="External"/><Relationship Id="rId1126" Type="http://schemas.openxmlformats.org/officeDocument/2006/relationships/hyperlink" Target="https://uacm.edu.mx/organizacion/tesoreria" TargetMode="External"/><Relationship Id="rId275" Type="http://schemas.openxmlformats.org/officeDocument/2006/relationships/hyperlink" Target="https://uacm.edu.mx/organizacion/tesoreria" TargetMode="External"/><Relationship Id="rId482" Type="http://schemas.openxmlformats.org/officeDocument/2006/relationships/hyperlink" Target="https://uacm.edu.mx/organizacion/tesoreria" TargetMode="External"/><Relationship Id="rId703" Type="http://schemas.openxmlformats.org/officeDocument/2006/relationships/hyperlink" Target="https://uacm.edu.mx/organizacion/tesoreria" TargetMode="External"/><Relationship Id="rId910" Type="http://schemas.openxmlformats.org/officeDocument/2006/relationships/hyperlink" Target="https://uacm.edu.mx/organizacion/tesoreria" TargetMode="External"/><Relationship Id="rId1333" Type="http://schemas.openxmlformats.org/officeDocument/2006/relationships/hyperlink" Target="https://uacm.edu.mx/organizacion/tesoreria" TargetMode="External"/><Relationship Id="rId1540" Type="http://schemas.openxmlformats.org/officeDocument/2006/relationships/hyperlink" Target="https://uacm.edu.mx/organizacion/tesoreria" TargetMode="External"/><Relationship Id="rId135" Type="http://schemas.openxmlformats.org/officeDocument/2006/relationships/hyperlink" Target="https://uacm.edu.mx/organizacion/tesoreria" TargetMode="External"/><Relationship Id="rId342" Type="http://schemas.openxmlformats.org/officeDocument/2006/relationships/hyperlink" Target="https://uacm.edu.mx/organizacion/tesoreria" TargetMode="External"/><Relationship Id="rId787" Type="http://schemas.openxmlformats.org/officeDocument/2006/relationships/hyperlink" Target="https://uacm.edu.mx/organizacion/tesoreria" TargetMode="External"/><Relationship Id="rId994" Type="http://schemas.openxmlformats.org/officeDocument/2006/relationships/hyperlink" Target="https://uacm.edu.mx/organizacion/tesoreria" TargetMode="External"/><Relationship Id="rId1400" Type="http://schemas.openxmlformats.org/officeDocument/2006/relationships/hyperlink" Target="https://uacm.edu.mx/organizacion/tesoreria" TargetMode="External"/><Relationship Id="rId202" Type="http://schemas.openxmlformats.org/officeDocument/2006/relationships/hyperlink" Target="https://uacm.edu.mx/organizacion/tesoreria" TargetMode="External"/><Relationship Id="rId647" Type="http://schemas.openxmlformats.org/officeDocument/2006/relationships/hyperlink" Target="https://uacm.edu.mx/organizacion/tesoreria" TargetMode="External"/><Relationship Id="rId854" Type="http://schemas.openxmlformats.org/officeDocument/2006/relationships/hyperlink" Target="https://uacm.edu.mx/organizacion/tesoreria" TargetMode="External"/><Relationship Id="rId1277" Type="http://schemas.openxmlformats.org/officeDocument/2006/relationships/hyperlink" Target="https://uacm.edu.mx/organizacion/tesoreria" TargetMode="External"/><Relationship Id="rId1484" Type="http://schemas.openxmlformats.org/officeDocument/2006/relationships/hyperlink" Target="https://uacm.edu.mx/organizacion/tesoreria" TargetMode="External"/><Relationship Id="rId286" Type="http://schemas.openxmlformats.org/officeDocument/2006/relationships/hyperlink" Target="https://uacm.edu.mx/organizacion/tesoreria" TargetMode="External"/><Relationship Id="rId493" Type="http://schemas.openxmlformats.org/officeDocument/2006/relationships/hyperlink" Target="https://uacm.edu.mx/organizacion/tesoreria" TargetMode="External"/><Relationship Id="rId507" Type="http://schemas.openxmlformats.org/officeDocument/2006/relationships/hyperlink" Target="https://uacm.edu.mx/organizacion/tesoreria" TargetMode="External"/><Relationship Id="rId714" Type="http://schemas.openxmlformats.org/officeDocument/2006/relationships/hyperlink" Target="https://uacm.edu.mx/organizacion/tesoreria" TargetMode="External"/><Relationship Id="rId921" Type="http://schemas.openxmlformats.org/officeDocument/2006/relationships/hyperlink" Target="https://uacm.edu.mx/organizacion/tesoreria" TargetMode="External"/><Relationship Id="rId1137" Type="http://schemas.openxmlformats.org/officeDocument/2006/relationships/hyperlink" Target="https://uacm.edu.mx/organizacion/tesoreria" TargetMode="External"/><Relationship Id="rId1344" Type="http://schemas.openxmlformats.org/officeDocument/2006/relationships/hyperlink" Target="https://uacm.edu.mx/organizacion/tesoreria" TargetMode="External"/><Relationship Id="rId50" Type="http://schemas.openxmlformats.org/officeDocument/2006/relationships/hyperlink" Target="https://uacm.edu.mx/organizacion/tesoreria" TargetMode="External"/><Relationship Id="rId146" Type="http://schemas.openxmlformats.org/officeDocument/2006/relationships/hyperlink" Target="https://uacm.edu.mx/organizacion/tesoreria" TargetMode="External"/><Relationship Id="rId353" Type="http://schemas.openxmlformats.org/officeDocument/2006/relationships/hyperlink" Target="https://uacm.edu.mx/organizacion/tesoreria" TargetMode="External"/><Relationship Id="rId560" Type="http://schemas.openxmlformats.org/officeDocument/2006/relationships/hyperlink" Target="https://uacm.edu.mx/organizacion/tesoreria" TargetMode="External"/><Relationship Id="rId798" Type="http://schemas.openxmlformats.org/officeDocument/2006/relationships/hyperlink" Target="https://uacm.edu.mx/organizacion/tesoreria" TargetMode="External"/><Relationship Id="rId1190" Type="http://schemas.openxmlformats.org/officeDocument/2006/relationships/hyperlink" Target="https://uacm.edu.mx/organizacion/tesoreria" TargetMode="External"/><Relationship Id="rId1204" Type="http://schemas.openxmlformats.org/officeDocument/2006/relationships/hyperlink" Target="https://uacm.edu.mx/organizacion/tesoreria" TargetMode="External"/><Relationship Id="rId1411" Type="http://schemas.openxmlformats.org/officeDocument/2006/relationships/hyperlink" Target="https://uacm.edu.mx/organizacion/tesoreria" TargetMode="External"/><Relationship Id="rId213" Type="http://schemas.openxmlformats.org/officeDocument/2006/relationships/hyperlink" Target="https://uacm.edu.mx/organizacion/tesoreria" TargetMode="External"/><Relationship Id="rId420" Type="http://schemas.openxmlformats.org/officeDocument/2006/relationships/hyperlink" Target="https://uacm.edu.mx/organizacion/tesoreria" TargetMode="External"/><Relationship Id="rId658" Type="http://schemas.openxmlformats.org/officeDocument/2006/relationships/hyperlink" Target="https://uacm.edu.mx/organizacion/tesoreria" TargetMode="External"/><Relationship Id="rId865" Type="http://schemas.openxmlformats.org/officeDocument/2006/relationships/hyperlink" Target="https://uacm.edu.mx/organizacion/tesoreria" TargetMode="External"/><Relationship Id="rId1050" Type="http://schemas.openxmlformats.org/officeDocument/2006/relationships/hyperlink" Target="https://uacm.edu.mx/organizacion/tesoreria" TargetMode="External"/><Relationship Id="rId1288" Type="http://schemas.openxmlformats.org/officeDocument/2006/relationships/hyperlink" Target="https://uacm.edu.mx/organizacion/tesoreria" TargetMode="External"/><Relationship Id="rId1495" Type="http://schemas.openxmlformats.org/officeDocument/2006/relationships/hyperlink" Target="https://uacm.edu.mx/organizacion/tesoreria" TargetMode="External"/><Relationship Id="rId1509" Type="http://schemas.openxmlformats.org/officeDocument/2006/relationships/hyperlink" Target="https://uacm.edu.mx/organizacion/tesoreria" TargetMode="External"/><Relationship Id="rId297" Type="http://schemas.openxmlformats.org/officeDocument/2006/relationships/hyperlink" Target="https://uacm.edu.mx/organizacion/tesoreria" TargetMode="External"/><Relationship Id="rId518" Type="http://schemas.openxmlformats.org/officeDocument/2006/relationships/hyperlink" Target="https://uacm.edu.mx/organizacion/tesoreria" TargetMode="External"/><Relationship Id="rId725" Type="http://schemas.openxmlformats.org/officeDocument/2006/relationships/hyperlink" Target="https://uacm.edu.mx/organizacion/tesoreria" TargetMode="External"/><Relationship Id="rId932" Type="http://schemas.openxmlformats.org/officeDocument/2006/relationships/hyperlink" Target="https://uacm.edu.mx/organizacion/tesoreria" TargetMode="External"/><Relationship Id="rId1148" Type="http://schemas.openxmlformats.org/officeDocument/2006/relationships/hyperlink" Target="https://uacm.edu.mx/organizacion/tesoreria" TargetMode="External"/><Relationship Id="rId1355" Type="http://schemas.openxmlformats.org/officeDocument/2006/relationships/hyperlink" Target="https://uacm.edu.mx/organizacion/tesoreria" TargetMode="External"/><Relationship Id="rId157" Type="http://schemas.openxmlformats.org/officeDocument/2006/relationships/hyperlink" Target="https://uacm.edu.mx/organizacion/tesoreria" TargetMode="External"/><Relationship Id="rId364" Type="http://schemas.openxmlformats.org/officeDocument/2006/relationships/hyperlink" Target="https://uacm.edu.mx/organizacion/tesoreria" TargetMode="External"/><Relationship Id="rId1008" Type="http://schemas.openxmlformats.org/officeDocument/2006/relationships/hyperlink" Target="https://uacm.edu.mx/organizacion/tesoreria" TargetMode="External"/><Relationship Id="rId1215" Type="http://schemas.openxmlformats.org/officeDocument/2006/relationships/hyperlink" Target="https://uacm.edu.mx/organizacion/tesoreria" TargetMode="External"/><Relationship Id="rId1422" Type="http://schemas.openxmlformats.org/officeDocument/2006/relationships/hyperlink" Target="https://uacm.edu.mx/organizacion/tesoreria" TargetMode="External"/><Relationship Id="rId61" Type="http://schemas.openxmlformats.org/officeDocument/2006/relationships/hyperlink" Target="https://uacm.edu.mx/organizacion/tesoreria" TargetMode="External"/><Relationship Id="rId571" Type="http://schemas.openxmlformats.org/officeDocument/2006/relationships/hyperlink" Target="https://uacm.edu.mx/organizacion/tesoreria" TargetMode="External"/><Relationship Id="rId669" Type="http://schemas.openxmlformats.org/officeDocument/2006/relationships/hyperlink" Target="https://uacm.edu.mx/organizacion/tesoreria" TargetMode="External"/><Relationship Id="rId876" Type="http://schemas.openxmlformats.org/officeDocument/2006/relationships/hyperlink" Target="https://uacm.edu.mx/organizacion/tesoreria" TargetMode="External"/><Relationship Id="rId1299" Type="http://schemas.openxmlformats.org/officeDocument/2006/relationships/hyperlink" Target="https://uacm.edu.mx/organizacion/tesoreria" TargetMode="External"/><Relationship Id="rId19" Type="http://schemas.openxmlformats.org/officeDocument/2006/relationships/hyperlink" Target="https://uacm.edu.mx/organizacion/tesoreria" TargetMode="External"/><Relationship Id="rId224" Type="http://schemas.openxmlformats.org/officeDocument/2006/relationships/hyperlink" Target="https://uacm.edu.mx/organizacion/tesoreria" TargetMode="External"/><Relationship Id="rId431" Type="http://schemas.openxmlformats.org/officeDocument/2006/relationships/hyperlink" Target="https://uacm.edu.mx/organizacion/tesoreria" TargetMode="External"/><Relationship Id="rId529" Type="http://schemas.openxmlformats.org/officeDocument/2006/relationships/hyperlink" Target="https://uacm.edu.mx/organizacion/tesoreria" TargetMode="External"/><Relationship Id="rId736" Type="http://schemas.openxmlformats.org/officeDocument/2006/relationships/hyperlink" Target="https://uacm.edu.mx/organizacion/tesoreria" TargetMode="External"/><Relationship Id="rId1061" Type="http://schemas.openxmlformats.org/officeDocument/2006/relationships/hyperlink" Target="https://uacm.edu.mx/organizacion/tesoreria" TargetMode="External"/><Relationship Id="rId1159" Type="http://schemas.openxmlformats.org/officeDocument/2006/relationships/hyperlink" Target="https://uacm.edu.mx/organizacion/tesoreria" TargetMode="External"/><Relationship Id="rId1366" Type="http://schemas.openxmlformats.org/officeDocument/2006/relationships/hyperlink" Target="https://uacm.edu.mx/organizacion/tesoreria" TargetMode="External"/><Relationship Id="rId168" Type="http://schemas.openxmlformats.org/officeDocument/2006/relationships/hyperlink" Target="https://uacm.edu.mx/organizacion/tesoreria" TargetMode="External"/><Relationship Id="rId943" Type="http://schemas.openxmlformats.org/officeDocument/2006/relationships/hyperlink" Target="https://uacm.edu.mx/organizacion/tesoreria" TargetMode="External"/><Relationship Id="rId1019" Type="http://schemas.openxmlformats.org/officeDocument/2006/relationships/hyperlink" Target="https://uacm.edu.mx/organizacion/tesoreria" TargetMode="External"/><Relationship Id="rId72" Type="http://schemas.openxmlformats.org/officeDocument/2006/relationships/hyperlink" Target="https://uacm.edu.mx/organizacion/tesoreria" TargetMode="External"/><Relationship Id="rId375" Type="http://schemas.openxmlformats.org/officeDocument/2006/relationships/hyperlink" Target="https://uacm.edu.mx/organizacion/tesoreria" TargetMode="External"/><Relationship Id="rId582" Type="http://schemas.openxmlformats.org/officeDocument/2006/relationships/hyperlink" Target="https://uacm.edu.mx/organizacion/tesoreria" TargetMode="External"/><Relationship Id="rId803" Type="http://schemas.openxmlformats.org/officeDocument/2006/relationships/hyperlink" Target="https://uacm.edu.mx/organizacion/tesoreria" TargetMode="External"/><Relationship Id="rId1226" Type="http://schemas.openxmlformats.org/officeDocument/2006/relationships/hyperlink" Target="https://uacm.edu.mx/organizacion/tesoreria" TargetMode="External"/><Relationship Id="rId1433" Type="http://schemas.openxmlformats.org/officeDocument/2006/relationships/hyperlink" Target="https://uacm.edu.mx/organizacion/tesoreria" TargetMode="External"/><Relationship Id="rId3" Type="http://schemas.openxmlformats.org/officeDocument/2006/relationships/hyperlink" Target="https://uacm.edu.mx/organizacion/tesoreria" TargetMode="External"/><Relationship Id="rId235" Type="http://schemas.openxmlformats.org/officeDocument/2006/relationships/hyperlink" Target="https://uacm.edu.mx/organizacion/tesoreria" TargetMode="External"/><Relationship Id="rId442" Type="http://schemas.openxmlformats.org/officeDocument/2006/relationships/hyperlink" Target="https://uacm.edu.mx/organizacion/tesoreria" TargetMode="External"/><Relationship Id="rId887" Type="http://schemas.openxmlformats.org/officeDocument/2006/relationships/hyperlink" Target="https://uacm.edu.mx/organizacion/tesoreria" TargetMode="External"/><Relationship Id="rId1072" Type="http://schemas.openxmlformats.org/officeDocument/2006/relationships/hyperlink" Target="https://uacm.edu.mx/organizacion/tesoreria" TargetMode="External"/><Relationship Id="rId1500" Type="http://schemas.openxmlformats.org/officeDocument/2006/relationships/hyperlink" Target="https://uacm.edu.mx/organizacion/tesoreria" TargetMode="External"/><Relationship Id="rId302" Type="http://schemas.openxmlformats.org/officeDocument/2006/relationships/hyperlink" Target="https://uacm.edu.mx/organizacion/tesoreria" TargetMode="External"/><Relationship Id="rId747" Type="http://schemas.openxmlformats.org/officeDocument/2006/relationships/hyperlink" Target="https://uacm.edu.mx/organizacion/tesoreria" TargetMode="External"/><Relationship Id="rId954" Type="http://schemas.openxmlformats.org/officeDocument/2006/relationships/hyperlink" Target="https://uacm.edu.mx/organizacion/tesoreria" TargetMode="External"/><Relationship Id="rId1377" Type="http://schemas.openxmlformats.org/officeDocument/2006/relationships/hyperlink" Target="https://uacm.edu.mx/organizacion/tesoreria" TargetMode="External"/><Relationship Id="rId83" Type="http://schemas.openxmlformats.org/officeDocument/2006/relationships/hyperlink" Target="https://uacm.edu.mx/organizacion/tesoreria" TargetMode="External"/><Relationship Id="rId179" Type="http://schemas.openxmlformats.org/officeDocument/2006/relationships/hyperlink" Target="https://uacm.edu.mx/organizacion/tesoreria" TargetMode="External"/><Relationship Id="rId386" Type="http://schemas.openxmlformats.org/officeDocument/2006/relationships/hyperlink" Target="https://uacm.edu.mx/organizacion/tesoreria" TargetMode="External"/><Relationship Id="rId593" Type="http://schemas.openxmlformats.org/officeDocument/2006/relationships/hyperlink" Target="https://uacm.edu.mx/organizacion/tesoreria" TargetMode="External"/><Relationship Id="rId607" Type="http://schemas.openxmlformats.org/officeDocument/2006/relationships/hyperlink" Target="https://uacm.edu.mx/organizacion/tesoreria" TargetMode="External"/><Relationship Id="rId814" Type="http://schemas.openxmlformats.org/officeDocument/2006/relationships/hyperlink" Target="https://uacm.edu.mx/organizacion/tesoreria" TargetMode="External"/><Relationship Id="rId1237" Type="http://schemas.openxmlformats.org/officeDocument/2006/relationships/hyperlink" Target="https://uacm.edu.mx/organizacion/tesoreria" TargetMode="External"/><Relationship Id="rId1444" Type="http://schemas.openxmlformats.org/officeDocument/2006/relationships/hyperlink" Target="https://uacm.edu.mx/organizacion/tesoreria" TargetMode="External"/><Relationship Id="rId246" Type="http://schemas.openxmlformats.org/officeDocument/2006/relationships/hyperlink" Target="https://uacm.edu.mx/organizacion/tesoreria" TargetMode="External"/><Relationship Id="rId453" Type="http://schemas.openxmlformats.org/officeDocument/2006/relationships/hyperlink" Target="https://uacm.edu.mx/organizacion/tesoreria" TargetMode="External"/><Relationship Id="rId660" Type="http://schemas.openxmlformats.org/officeDocument/2006/relationships/hyperlink" Target="https://uacm.edu.mx/organizacion/tesoreria" TargetMode="External"/><Relationship Id="rId898" Type="http://schemas.openxmlformats.org/officeDocument/2006/relationships/hyperlink" Target="https://uacm.edu.mx/organizacion/tesoreria" TargetMode="External"/><Relationship Id="rId1083" Type="http://schemas.openxmlformats.org/officeDocument/2006/relationships/hyperlink" Target="https://uacm.edu.mx/organizacion/tesoreria" TargetMode="External"/><Relationship Id="rId1290" Type="http://schemas.openxmlformats.org/officeDocument/2006/relationships/hyperlink" Target="https://uacm.edu.mx/organizacion/tesoreria" TargetMode="External"/><Relationship Id="rId1304" Type="http://schemas.openxmlformats.org/officeDocument/2006/relationships/hyperlink" Target="https://uacm.edu.mx/organizacion/tesoreria" TargetMode="External"/><Relationship Id="rId1511" Type="http://schemas.openxmlformats.org/officeDocument/2006/relationships/hyperlink" Target="https://uacm.edu.mx/organizacion/tesoreria" TargetMode="External"/><Relationship Id="rId106" Type="http://schemas.openxmlformats.org/officeDocument/2006/relationships/hyperlink" Target="https://uacm.edu.mx/organizacion/tesoreria" TargetMode="External"/><Relationship Id="rId313" Type="http://schemas.openxmlformats.org/officeDocument/2006/relationships/hyperlink" Target="https://uacm.edu.mx/organizacion/tesoreria" TargetMode="External"/><Relationship Id="rId758" Type="http://schemas.openxmlformats.org/officeDocument/2006/relationships/hyperlink" Target="https://uacm.edu.mx/organizacion/tesoreria" TargetMode="External"/><Relationship Id="rId965" Type="http://schemas.openxmlformats.org/officeDocument/2006/relationships/hyperlink" Target="https://uacm.edu.mx/organizacion/tesoreria" TargetMode="External"/><Relationship Id="rId1150" Type="http://schemas.openxmlformats.org/officeDocument/2006/relationships/hyperlink" Target="https://uacm.edu.mx/organizacion/tesoreria" TargetMode="External"/><Relationship Id="rId1388" Type="http://schemas.openxmlformats.org/officeDocument/2006/relationships/hyperlink" Target="https://uacm.edu.mx/organizacion/tesoreria" TargetMode="External"/><Relationship Id="rId10" Type="http://schemas.openxmlformats.org/officeDocument/2006/relationships/hyperlink" Target="https://uacm.edu.mx/organizacion/tesoreria" TargetMode="External"/><Relationship Id="rId94" Type="http://schemas.openxmlformats.org/officeDocument/2006/relationships/hyperlink" Target="https://uacm.edu.mx/organizacion/tesoreria" TargetMode="External"/><Relationship Id="rId397" Type="http://schemas.openxmlformats.org/officeDocument/2006/relationships/hyperlink" Target="https://uacm.edu.mx/organizacion/tesoreria" TargetMode="External"/><Relationship Id="rId520" Type="http://schemas.openxmlformats.org/officeDocument/2006/relationships/hyperlink" Target="https://uacm.edu.mx/organizacion/tesoreria" TargetMode="External"/><Relationship Id="rId618" Type="http://schemas.openxmlformats.org/officeDocument/2006/relationships/hyperlink" Target="https://uacm.edu.mx/organizacion/tesoreria" TargetMode="External"/><Relationship Id="rId825" Type="http://schemas.openxmlformats.org/officeDocument/2006/relationships/hyperlink" Target="https://uacm.edu.mx/organizacion/tesoreria" TargetMode="External"/><Relationship Id="rId1248" Type="http://schemas.openxmlformats.org/officeDocument/2006/relationships/hyperlink" Target="https://uacm.edu.mx/organizacion/tesoreria" TargetMode="External"/><Relationship Id="rId1455" Type="http://schemas.openxmlformats.org/officeDocument/2006/relationships/hyperlink" Target="https://uacm.edu.mx/organizacion/tesoreria" TargetMode="External"/><Relationship Id="rId257" Type="http://schemas.openxmlformats.org/officeDocument/2006/relationships/hyperlink" Target="https://uacm.edu.mx/organizacion/tesoreria" TargetMode="External"/><Relationship Id="rId464" Type="http://schemas.openxmlformats.org/officeDocument/2006/relationships/hyperlink" Target="https://uacm.edu.mx/organizacion/tesoreria" TargetMode="External"/><Relationship Id="rId1010" Type="http://schemas.openxmlformats.org/officeDocument/2006/relationships/hyperlink" Target="https://uacm.edu.mx/organizacion/tesoreria" TargetMode="External"/><Relationship Id="rId1094" Type="http://schemas.openxmlformats.org/officeDocument/2006/relationships/hyperlink" Target="https://uacm.edu.mx/organizacion/tesoreria" TargetMode="External"/><Relationship Id="rId1108" Type="http://schemas.openxmlformats.org/officeDocument/2006/relationships/hyperlink" Target="https://uacm.edu.mx/organizacion/tesoreria" TargetMode="External"/><Relationship Id="rId1315" Type="http://schemas.openxmlformats.org/officeDocument/2006/relationships/hyperlink" Target="https://uacm.edu.mx/organizacion/tesoreria" TargetMode="External"/><Relationship Id="rId117" Type="http://schemas.openxmlformats.org/officeDocument/2006/relationships/hyperlink" Target="https://uacm.edu.mx/organizacion/tesoreria" TargetMode="External"/><Relationship Id="rId671" Type="http://schemas.openxmlformats.org/officeDocument/2006/relationships/hyperlink" Target="https://uacm.edu.mx/organizacion/tesoreria" TargetMode="External"/><Relationship Id="rId769" Type="http://schemas.openxmlformats.org/officeDocument/2006/relationships/hyperlink" Target="https://uacm.edu.mx/organizacion/tesoreria" TargetMode="External"/><Relationship Id="rId976" Type="http://schemas.openxmlformats.org/officeDocument/2006/relationships/hyperlink" Target="https://uacm.edu.mx/organizacion/tesoreria" TargetMode="External"/><Relationship Id="rId1399" Type="http://schemas.openxmlformats.org/officeDocument/2006/relationships/hyperlink" Target="https://uacm.edu.mx/organizacion/tesoreria" TargetMode="External"/><Relationship Id="rId324" Type="http://schemas.openxmlformats.org/officeDocument/2006/relationships/hyperlink" Target="https://uacm.edu.mx/organizacion/tesoreria" TargetMode="External"/><Relationship Id="rId531" Type="http://schemas.openxmlformats.org/officeDocument/2006/relationships/hyperlink" Target="https://uacm.edu.mx/organizacion/tesoreria" TargetMode="External"/><Relationship Id="rId629" Type="http://schemas.openxmlformats.org/officeDocument/2006/relationships/hyperlink" Target="https://uacm.edu.mx/organizacion/tesoreria" TargetMode="External"/><Relationship Id="rId1161" Type="http://schemas.openxmlformats.org/officeDocument/2006/relationships/hyperlink" Target="https://uacm.edu.mx/organizacion/tesoreria" TargetMode="External"/><Relationship Id="rId1259" Type="http://schemas.openxmlformats.org/officeDocument/2006/relationships/hyperlink" Target="https://uacm.edu.mx/organizacion/tesoreria" TargetMode="External"/><Relationship Id="rId1466" Type="http://schemas.openxmlformats.org/officeDocument/2006/relationships/hyperlink" Target="https://uacm.edu.mx/organizacion/tesoreria" TargetMode="External"/><Relationship Id="rId836" Type="http://schemas.openxmlformats.org/officeDocument/2006/relationships/hyperlink" Target="https://uacm.edu.mx/organizacion/tesoreria" TargetMode="External"/><Relationship Id="rId1021" Type="http://schemas.openxmlformats.org/officeDocument/2006/relationships/hyperlink" Target="https://uacm.edu.mx/organizacion/tesoreria" TargetMode="External"/><Relationship Id="rId1119" Type="http://schemas.openxmlformats.org/officeDocument/2006/relationships/hyperlink" Target="https://uacm.edu.mx/organizacion/tesoreria" TargetMode="External"/><Relationship Id="rId903" Type="http://schemas.openxmlformats.org/officeDocument/2006/relationships/hyperlink" Target="https://uacm.edu.mx/organizacion/tesoreria" TargetMode="External"/><Relationship Id="rId1326" Type="http://schemas.openxmlformats.org/officeDocument/2006/relationships/hyperlink" Target="https://uacm.edu.mx/organizacion/tesoreria" TargetMode="External"/><Relationship Id="rId1533" Type="http://schemas.openxmlformats.org/officeDocument/2006/relationships/hyperlink" Target="https://uacm.edu.mx/organizacion/tesoreria" TargetMode="External"/><Relationship Id="rId32" Type="http://schemas.openxmlformats.org/officeDocument/2006/relationships/hyperlink" Target="https://uacm.edu.mx/organizacion/tesoreria" TargetMode="External"/><Relationship Id="rId181" Type="http://schemas.openxmlformats.org/officeDocument/2006/relationships/hyperlink" Target="https://uacm.edu.mx/organizacion/tesoreria" TargetMode="External"/><Relationship Id="rId279" Type="http://schemas.openxmlformats.org/officeDocument/2006/relationships/hyperlink" Target="https://uacm.edu.mx/organizacion/tesoreria" TargetMode="External"/><Relationship Id="rId486" Type="http://schemas.openxmlformats.org/officeDocument/2006/relationships/hyperlink" Target="https://uacm.edu.mx/organizacion/tesoreria" TargetMode="External"/><Relationship Id="rId693" Type="http://schemas.openxmlformats.org/officeDocument/2006/relationships/hyperlink" Target="https://uacm.edu.mx/organizacion/tesoreria" TargetMode="External"/><Relationship Id="rId139" Type="http://schemas.openxmlformats.org/officeDocument/2006/relationships/hyperlink" Target="https://uacm.edu.mx/organizacion/tesoreria" TargetMode="External"/><Relationship Id="rId346" Type="http://schemas.openxmlformats.org/officeDocument/2006/relationships/hyperlink" Target="https://uacm.edu.mx/organizacion/tesoreria" TargetMode="External"/><Relationship Id="rId553" Type="http://schemas.openxmlformats.org/officeDocument/2006/relationships/hyperlink" Target="https://uacm.edu.mx/organizacion/tesoreria" TargetMode="External"/><Relationship Id="rId760" Type="http://schemas.openxmlformats.org/officeDocument/2006/relationships/hyperlink" Target="https://uacm.edu.mx/organizacion/tesoreria" TargetMode="External"/><Relationship Id="rId998" Type="http://schemas.openxmlformats.org/officeDocument/2006/relationships/hyperlink" Target="https://uacm.edu.mx/organizacion/tesoreria" TargetMode="External"/><Relationship Id="rId1183" Type="http://schemas.openxmlformats.org/officeDocument/2006/relationships/hyperlink" Target="https://uacm.edu.mx/organizacion/tesoreria" TargetMode="External"/><Relationship Id="rId1390" Type="http://schemas.openxmlformats.org/officeDocument/2006/relationships/hyperlink" Target="https://uacm.edu.mx/organizacion/tesoreria" TargetMode="External"/><Relationship Id="rId206" Type="http://schemas.openxmlformats.org/officeDocument/2006/relationships/hyperlink" Target="https://uacm.edu.mx/organizacion/tesoreria" TargetMode="External"/><Relationship Id="rId413" Type="http://schemas.openxmlformats.org/officeDocument/2006/relationships/hyperlink" Target="https://uacm.edu.mx/organizacion/tesoreria" TargetMode="External"/><Relationship Id="rId858" Type="http://schemas.openxmlformats.org/officeDocument/2006/relationships/hyperlink" Target="https://uacm.edu.mx/organizacion/tesoreria" TargetMode="External"/><Relationship Id="rId1043" Type="http://schemas.openxmlformats.org/officeDocument/2006/relationships/hyperlink" Target="https://uacm.edu.mx/organizacion/tesoreria" TargetMode="External"/><Relationship Id="rId1488" Type="http://schemas.openxmlformats.org/officeDocument/2006/relationships/hyperlink" Target="https://uacm.edu.mx/organizacion/tesoreria" TargetMode="External"/><Relationship Id="rId620" Type="http://schemas.openxmlformats.org/officeDocument/2006/relationships/hyperlink" Target="https://uacm.edu.mx/organizacion/tesoreria" TargetMode="External"/><Relationship Id="rId718" Type="http://schemas.openxmlformats.org/officeDocument/2006/relationships/hyperlink" Target="https://uacm.edu.mx/organizacion/tesoreria" TargetMode="External"/><Relationship Id="rId925" Type="http://schemas.openxmlformats.org/officeDocument/2006/relationships/hyperlink" Target="https://uacm.edu.mx/organizacion/tesoreria" TargetMode="External"/><Relationship Id="rId1250" Type="http://schemas.openxmlformats.org/officeDocument/2006/relationships/hyperlink" Target="https://uacm.edu.mx/organizacion/tesoreria" TargetMode="External"/><Relationship Id="rId1348" Type="http://schemas.openxmlformats.org/officeDocument/2006/relationships/hyperlink" Target="https://uacm.edu.mx/organizacion/tesoreria" TargetMode="External"/><Relationship Id="rId1110" Type="http://schemas.openxmlformats.org/officeDocument/2006/relationships/hyperlink" Target="https://uacm.edu.mx/organizacion/tesoreria" TargetMode="External"/><Relationship Id="rId1208" Type="http://schemas.openxmlformats.org/officeDocument/2006/relationships/hyperlink" Target="https://uacm.edu.mx/organizacion/tesoreria" TargetMode="External"/><Relationship Id="rId1415" Type="http://schemas.openxmlformats.org/officeDocument/2006/relationships/hyperlink" Target="https://uacm.edu.mx/organizacion/tesoreria" TargetMode="External"/><Relationship Id="rId54" Type="http://schemas.openxmlformats.org/officeDocument/2006/relationships/hyperlink" Target="https://uacm.edu.mx/organizacion/tesoreria" TargetMode="External"/><Relationship Id="rId270" Type="http://schemas.openxmlformats.org/officeDocument/2006/relationships/hyperlink" Target="https://uacm.edu.mx/organizacion/tesoreria" TargetMode="External"/><Relationship Id="rId130" Type="http://schemas.openxmlformats.org/officeDocument/2006/relationships/hyperlink" Target="https://uacm.edu.mx/organizacion/tesoreria" TargetMode="External"/><Relationship Id="rId368" Type="http://schemas.openxmlformats.org/officeDocument/2006/relationships/hyperlink" Target="https://uacm.edu.mx/organizacion/tesoreria" TargetMode="External"/><Relationship Id="rId575" Type="http://schemas.openxmlformats.org/officeDocument/2006/relationships/hyperlink" Target="https://uacm.edu.mx/organizacion/tesoreria" TargetMode="External"/><Relationship Id="rId782" Type="http://schemas.openxmlformats.org/officeDocument/2006/relationships/hyperlink" Target="https://uacm.edu.mx/organizacion/tesoreria" TargetMode="External"/><Relationship Id="rId228" Type="http://schemas.openxmlformats.org/officeDocument/2006/relationships/hyperlink" Target="https://uacm.edu.mx/organizacion/tesoreria" TargetMode="External"/><Relationship Id="rId435" Type="http://schemas.openxmlformats.org/officeDocument/2006/relationships/hyperlink" Target="https://uacm.edu.mx/organizacion/tesoreria" TargetMode="External"/><Relationship Id="rId642" Type="http://schemas.openxmlformats.org/officeDocument/2006/relationships/hyperlink" Target="https://uacm.edu.mx/organizacion/tesoreria" TargetMode="External"/><Relationship Id="rId1065" Type="http://schemas.openxmlformats.org/officeDocument/2006/relationships/hyperlink" Target="https://uacm.edu.mx/organizacion/tesoreria" TargetMode="External"/><Relationship Id="rId1272" Type="http://schemas.openxmlformats.org/officeDocument/2006/relationships/hyperlink" Target="https://uacm.edu.mx/organizacion/tesoreria" TargetMode="External"/><Relationship Id="rId502" Type="http://schemas.openxmlformats.org/officeDocument/2006/relationships/hyperlink" Target="https://uacm.edu.mx/organizacion/tesoreria" TargetMode="External"/><Relationship Id="rId947" Type="http://schemas.openxmlformats.org/officeDocument/2006/relationships/hyperlink" Target="https://uacm.edu.mx/organizacion/tesoreria" TargetMode="External"/><Relationship Id="rId1132" Type="http://schemas.openxmlformats.org/officeDocument/2006/relationships/hyperlink" Target="https://uacm.edu.mx/organizacion/tesoreria" TargetMode="External"/><Relationship Id="rId76" Type="http://schemas.openxmlformats.org/officeDocument/2006/relationships/hyperlink" Target="https://uacm.edu.mx/organizacion/tesoreria" TargetMode="External"/><Relationship Id="rId807" Type="http://schemas.openxmlformats.org/officeDocument/2006/relationships/hyperlink" Target="https://uacm.edu.mx/organizacion/tesoreria" TargetMode="External"/><Relationship Id="rId1437" Type="http://schemas.openxmlformats.org/officeDocument/2006/relationships/hyperlink" Target="https://uacm.edu.mx/organizacion/tesoreria" TargetMode="External"/><Relationship Id="rId1504" Type="http://schemas.openxmlformats.org/officeDocument/2006/relationships/hyperlink" Target="https://uacm.edu.mx/organizacion/tesoreria" TargetMode="External"/><Relationship Id="rId292" Type="http://schemas.openxmlformats.org/officeDocument/2006/relationships/hyperlink" Target="https://uacm.edu.mx/organizacion/tesoreria" TargetMode="External"/><Relationship Id="rId597" Type="http://schemas.openxmlformats.org/officeDocument/2006/relationships/hyperlink" Target="https://uacm.edu.mx/organizacion/tesoreria" TargetMode="External"/><Relationship Id="rId152" Type="http://schemas.openxmlformats.org/officeDocument/2006/relationships/hyperlink" Target="https://uacm.edu.mx/organizacion/tesoreria" TargetMode="External"/><Relationship Id="rId457" Type="http://schemas.openxmlformats.org/officeDocument/2006/relationships/hyperlink" Target="https://uacm.edu.mx/organizacion/tesoreria" TargetMode="External"/><Relationship Id="rId1087" Type="http://schemas.openxmlformats.org/officeDocument/2006/relationships/hyperlink" Target="https://uacm.edu.mx/organizacion/tesoreria" TargetMode="External"/><Relationship Id="rId1294" Type="http://schemas.openxmlformats.org/officeDocument/2006/relationships/hyperlink" Target="https://uacm.edu.mx/organizacion/tesoreria" TargetMode="External"/><Relationship Id="rId664" Type="http://schemas.openxmlformats.org/officeDocument/2006/relationships/hyperlink" Target="https://uacm.edu.mx/organizacion/tesoreria" TargetMode="External"/><Relationship Id="rId871" Type="http://schemas.openxmlformats.org/officeDocument/2006/relationships/hyperlink" Target="https://uacm.edu.mx/organizacion/tesoreria" TargetMode="External"/><Relationship Id="rId969" Type="http://schemas.openxmlformats.org/officeDocument/2006/relationships/hyperlink" Target="https://uacm.edu.mx/organizacion/tesoreria" TargetMode="External"/><Relationship Id="rId317" Type="http://schemas.openxmlformats.org/officeDocument/2006/relationships/hyperlink" Target="https://uacm.edu.mx/organizacion/tesoreria" TargetMode="External"/><Relationship Id="rId524" Type="http://schemas.openxmlformats.org/officeDocument/2006/relationships/hyperlink" Target="https://uacm.edu.mx/organizacion/tesoreria" TargetMode="External"/><Relationship Id="rId731" Type="http://schemas.openxmlformats.org/officeDocument/2006/relationships/hyperlink" Target="https://uacm.edu.mx/organizacion/tesoreria" TargetMode="External"/><Relationship Id="rId1154" Type="http://schemas.openxmlformats.org/officeDocument/2006/relationships/hyperlink" Target="https://uacm.edu.mx/organizacion/tesoreria" TargetMode="External"/><Relationship Id="rId1361" Type="http://schemas.openxmlformats.org/officeDocument/2006/relationships/hyperlink" Target="https://uacm.edu.mx/organizacion/tesoreria" TargetMode="External"/><Relationship Id="rId1459" Type="http://schemas.openxmlformats.org/officeDocument/2006/relationships/hyperlink" Target="https://uacm.edu.mx/organizacion/tesoreria" TargetMode="External"/><Relationship Id="rId98" Type="http://schemas.openxmlformats.org/officeDocument/2006/relationships/hyperlink" Target="https://uacm.edu.mx/organizacion/tesoreria" TargetMode="External"/><Relationship Id="rId829" Type="http://schemas.openxmlformats.org/officeDocument/2006/relationships/hyperlink" Target="https://uacm.edu.mx/organizacion/tesoreria" TargetMode="External"/><Relationship Id="rId1014" Type="http://schemas.openxmlformats.org/officeDocument/2006/relationships/hyperlink" Target="https://uacm.edu.mx/organizacion/tesoreria" TargetMode="External"/><Relationship Id="rId1221" Type="http://schemas.openxmlformats.org/officeDocument/2006/relationships/hyperlink" Target="https://uacm.edu.mx/organizacion/tesoreria" TargetMode="External"/><Relationship Id="rId1319" Type="http://schemas.openxmlformats.org/officeDocument/2006/relationships/hyperlink" Target="https://uacm.edu.mx/organizacion/tesoreria" TargetMode="External"/><Relationship Id="rId1526" Type="http://schemas.openxmlformats.org/officeDocument/2006/relationships/hyperlink" Target="https://uacm.edu.mx/organizacion/tesoreria" TargetMode="External"/><Relationship Id="rId25" Type="http://schemas.openxmlformats.org/officeDocument/2006/relationships/hyperlink" Target="https://uacm.edu.mx/organizacion/tesoreria" TargetMode="External"/><Relationship Id="rId174" Type="http://schemas.openxmlformats.org/officeDocument/2006/relationships/hyperlink" Target="https://uacm.edu.mx/organizacion/tesoreria" TargetMode="External"/><Relationship Id="rId381" Type="http://schemas.openxmlformats.org/officeDocument/2006/relationships/hyperlink" Target="https://uacm.edu.mx/organizacion/tesoreria" TargetMode="External"/><Relationship Id="rId241" Type="http://schemas.openxmlformats.org/officeDocument/2006/relationships/hyperlink" Target="https://uacm.edu.mx/organizacion/tesoreria" TargetMode="External"/><Relationship Id="rId479" Type="http://schemas.openxmlformats.org/officeDocument/2006/relationships/hyperlink" Target="https://uacm.edu.mx/organizacion/tesoreria" TargetMode="External"/><Relationship Id="rId686" Type="http://schemas.openxmlformats.org/officeDocument/2006/relationships/hyperlink" Target="https://uacm.edu.mx/organizacion/tesoreria" TargetMode="External"/><Relationship Id="rId893" Type="http://schemas.openxmlformats.org/officeDocument/2006/relationships/hyperlink" Target="https://uacm.edu.mx/organizacion/tesoreria" TargetMode="External"/><Relationship Id="rId339" Type="http://schemas.openxmlformats.org/officeDocument/2006/relationships/hyperlink" Target="https://uacm.edu.mx/organizacion/tesoreria" TargetMode="External"/><Relationship Id="rId546" Type="http://schemas.openxmlformats.org/officeDocument/2006/relationships/hyperlink" Target="https://uacm.edu.mx/organizacion/tesoreria" TargetMode="External"/><Relationship Id="rId753" Type="http://schemas.openxmlformats.org/officeDocument/2006/relationships/hyperlink" Target="https://uacm.edu.mx/organizacion/tesoreria" TargetMode="External"/><Relationship Id="rId1176" Type="http://schemas.openxmlformats.org/officeDocument/2006/relationships/hyperlink" Target="https://uacm.edu.mx/organizacion/tesoreria" TargetMode="External"/><Relationship Id="rId1383" Type="http://schemas.openxmlformats.org/officeDocument/2006/relationships/hyperlink" Target="https://uacm.edu.mx/organizacion/tesoreria" TargetMode="External"/><Relationship Id="rId101" Type="http://schemas.openxmlformats.org/officeDocument/2006/relationships/hyperlink" Target="https://uacm.edu.mx/organizacion/tesoreria" TargetMode="External"/><Relationship Id="rId406" Type="http://schemas.openxmlformats.org/officeDocument/2006/relationships/hyperlink" Target="https://uacm.edu.mx/organizacion/tesoreria" TargetMode="External"/><Relationship Id="rId960" Type="http://schemas.openxmlformats.org/officeDocument/2006/relationships/hyperlink" Target="https://uacm.edu.mx/organizacion/tesoreria" TargetMode="External"/><Relationship Id="rId1036" Type="http://schemas.openxmlformats.org/officeDocument/2006/relationships/hyperlink" Target="https://uacm.edu.mx/organizacion/tesoreria" TargetMode="External"/><Relationship Id="rId1243" Type="http://schemas.openxmlformats.org/officeDocument/2006/relationships/hyperlink" Target="https://uacm.edu.mx/organizacion/tesoreria" TargetMode="External"/><Relationship Id="rId613" Type="http://schemas.openxmlformats.org/officeDocument/2006/relationships/hyperlink" Target="https://uacm.edu.mx/organizacion/tesoreria" TargetMode="External"/><Relationship Id="rId820" Type="http://schemas.openxmlformats.org/officeDocument/2006/relationships/hyperlink" Target="https://uacm.edu.mx/organizacion/tesoreria" TargetMode="External"/><Relationship Id="rId918" Type="http://schemas.openxmlformats.org/officeDocument/2006/relationships/hyperlink" Target="https://uacm.edu.mx/organizacion/tesoreria" TargetMode="External"/><Relationship Id="rId1450" Type="http://schemas.openxmlformats.org/officeDocument/2006/relationships/hyperlink" Target="https://uacm.edu.mx/organizacion/tesoreria" TargetMode="External"/><Relationship Id="rId1548" Type="http://schemas.openxmlformats.org/officeDocument/2006/relationships/hyperlink" Target="https://uacm.edu.mx/organizacion/tesoreria" TargetMode="External"/><Relationship Id="rId1103" Type="http://schemas.openxmlformats.org/officeDocument/2006/relationships/hyperlink" Target="https://uacm.edu.mx/organizacion/tesoreria" TargetMode="External"/><Relationship Id="rId1310" Type="http://schemas.openxmlformats.org/officeDocument/2006/relationships/hyperlink" Target="https://uacm.edu.mx/organizacion/tesoreria" TargetMode="External"/><Relationship Id="rId1408" Type="http://schemas.openxmlformats.org/officeDocument/2006/relationships/hyperlink" Target="https://uacm.edu.mx/organizacion/tesoreria" TargetMode="External"/><Relationship Id="rId47" Type="http://schemas.openxmlformats.org/officeDocument/2006/relationships/hyperlink" Target="https://uacm.edu.mx/organizacion/tesoreria" TargetMode="External"/><Relationship Id="rId196" Type="http://schemas.openxmlformats.org/officeDocument/2006/relationships/hyperlink" Target="https://uacm.edu.mx/organizacion/tesoreria" TargetMode="External"/><Relationship Id="rId263" Type="http://schemas.openxmlformats.org/officeDocument/2006/relationships/hyperlink" Target="https://uacm.edu.mx/organizacion/tesoreria" TargetMode="External"/><Relationship Id="rId470" Type="http://schemas.openxmlformats.org/officeDocument/2006/relationships/hyperlink" Target="https://uacm.edu.mx/organizacion/tesoreria" TargetMode="External"/><Relationship Id="rId123" Type="http://schemas.openxmlformats.org/officeDocument/2006/relationships/hyperlink" Target="https://uacm.edu.mx/organizacion/tesoreria" TargetMode="External"/><Relationship Id="rId330" Type="http://schemas.openxmlformats.org/officeDocument/2006/relationships/hyperlink" Target="https://uacm.edu.mx/organizacion/tesoreria" TargetMode="External"/><Relationship Id="rId568" Type="http://schemas.openxmlformats.org/officeDocument/2006/relationships/hyperlink" Target="https://uacm.edu.mx/organizacion/tesoreria" TargetMode="External"/><Relationship Id="rId775" Type="http://schemas.openxmlformats.org/officeDocument/2006/relationships/hyperlink" Target="https://uacm.edu.mx/organizacion/tesoreria" TargetMode="External"/><Relationship Id="rId982" Type="http://schemas.openxmlformats.org/officeDocument/2006/relationships/hyperlink" Target="https://uacm.edu.mx/organizacion/tesoreria" TargetMode="External"/><Relationship Id="rId1198" Type="http://schemas.openxmlformats.org/officeDocument/2006/relationships/hyperlink" Target="https://uacm.edu.mx/organizacion/tesoreria" TargetMode="External"/><Relationship Id="rId428" Type="http://schemas.openxmlformats.org/officeDocument/2006/relationships/hyperlink" Target="https://uacm.edu.mx/organizacion/tesoreria" TargetMode="External"/><Relationship Id="rId635" Type="http://schemas.openxmlformats.org/officeDocument/2006/relationships/hyperlink" Target="https://uacm.edu.mx/organizacion/tesoreria" TargetMode="External"/><Relationship Id="rId842" Type="http://schemas.openxmlformats.org/officeDocument/2006/relationships/hyperlink" Target="https://uacm.edu.mx/organizacion/tesoreria" TargetMode="External"/><Relationship Id="rId1058" Type="http://schemas.openxmlformats.org/officeDocument/2006/relationships/hyperlink" Target="https://uacm.edu.mx/organizacion/tesoreria" TargetMode="External"/><Relationship Id="rId1265" Type="http://schemas.openxmlformats.org/officeDocument/2006/relationships/hyperlink" Target="https://uacm.edu.mx/organizacion/tesoreria" TargetMode="External"/><Relationship Id="rId1472" Type="http://schemas.openxmlformats.org/officeDocument/2006/relationships/hyperlink" Target="https://uacm.edu.mx/organizacion/tesoreria" TargetMode="External"/><Relationship Id="rId702" Type="http://schemas.openxmlformats.org/officeDocument/2006/relationships/hyperlink" Target="https://uacm.edu.mx/organizacion/tesoreria" TargetMode="External"/><Relationship Id="rId1125" Type="http://schemas.openxmlformats.org/officeDocument/2006/relationships/hyperlink" Target="https://uacm.edu.mx/organizacion/tesoreria" TargetMode="External"/><Relationship Id="rId1332" Type="http://schemas.openxmlformats.org/officeDocument/2006/relationships/hyperlink" Target="https://uacm.edu.mx/organizacion/tesoreria" TargetMode="External"/><Relationship Id="rId69" Type="http://schemas.openxmlformats.org/officeDocument/2006/relationships/hyperlink" Target="https://uacm.edu.mx/organizacion/tesoreria" TargetMode="External"/><Relationship Id="rId285" Type="http://schemas.openxmlformats.org/officeDocument/2006/relationships/hyperlink" Target="https://uacm.edu.mx/organizacion/tesoreria" TargetMode="External"/><Relationship Id="rId492" Type="http://schemas.openxmlformats.org/officeDocument/2006/relationships/hyperlink" Target="https://uacm.edu.mx/organizacion/tesoreria" TargetMode="External"/><Relationship Id="rId797" Type="http://schemas.openxmlformats.org/officeDocument/2006/relationships/hyperlink" Target="https://uacm.edu.mx/organizacion/tesoreria" TargetMode="External"/><Relationship Id="rId145" Type="http://schemas.openxmlformats.org/officeDocument/2006/relationships/hyperlink" Target="https://uacm.edu.mx/organizacion/tesoreria" TargetMode="External"/><Relationship Id="rId352" Type="http://schemas.openxmlformats.org/officeDocument/2006/relationships/hyperlink" Target="https://uacm.edu.mx/organizacion/tesoreria" TargetMode="External"/><Relationship Id="rId1287" Type="http://schemas.openxmlformats.org/officeDocument/2006/relationships/hyperlink" Target="https://uacm.edu.mx/organizacion/tesoreria" TargetMode="External"/><Relationship Id="rId212" Type="http://schemas.openxmlformats.org/officeDocument/2006/relationships/hyperlink" Target="https://uacm.edu.mx/organizacion/tesoreria" TargetMode="External"/><Relationship Id="rId657" Type="http://schemas.openxmlformats.org/officeDocument/2006/relationships/hyperlink" Target="https://uacm.edu.mx/organizacion/tesoreria" TargetMode="External"/><Relationship Id="rId864" Type="http://schemas.openxmlformats.org/officeDocument/2006/relationships/hyperlink" Target="https://uacm.edu.mx/organizacion/tesoreria" TargetMode="External"/><Relationship Id="rId1494" Type="http://schemas.openxmlformats.org/officeDocument/2006/relationships/hyperlink" Target="https://uacm.edu.mx/organizacion/tesoreria" TargetMode="External"/><Relationship Id="rId517" Type="http://schemas.openxmlformats.org/officeDocument/2006/relationships/hyperlink" Target="https://uacm.edu.mx/organizacion/tesoreria" TargetMode="External"/><Relationship Id="rId724" Type="http://schemas.openxmlformats.org/officeDocument/2006/relationships/hyperlink" Target="https://uacm.edu.mx/organizacion/tesoreria" TargetMode="External"/><Relationship Id="rId931" Type="http://schemas.openxmlformats.org/officeDocument/2006/relationships/hyperlink" Target="https://uacm.edu.mx/organizacion/tesoreria" TargetMode="External"/><Relationship Id="rId1147" Type="http://schemas.openxmlformats.org/officeDocument/2006/relationships/hyperlink" Target="https://uacm.edu.mx/organizacion/tesoreria" TargetMode="External"/><Relationship Id="rId1354" Type="http://schemas.openxmlformats.org/officeDocument/2006/relationships/hyperlink" Target="https://uacm.edu.mx/organizacion/tesoreria" TargetMode="External"/><Relationship Id="rId60" Type="http://schemas.openxmlformats.org/officeDocument/2006/relationships/hyperlink" Target="https://uacm.edu.mx/organizacion/tesoreria" TargetMode="External"/><Relationship Id="rId1007" Type="http://schemas.openxmlformats.org/officeDocument/2006/relationships/hyperlink" Target="https://uacm.edu.mx/organizacion/tesoreria" TargetMode="External"/><Relationship Id="rId1214" Type="http://schemas.openxmlformats.org/officeDocument/2006/relationships/hyperlink" Target="https://uacm.edu.mx/organizacion/tesoreria" TargetMode="External"/><Relationship Id="rId1421" Type="http://schemas.openxmlformats.org/officeDocument/2006/relationships/hyperlink" Target="https://uacm.edu.mx/organizacion/tesoreria" TargetMode="External"/><Relationship Id="rId1519" Type="http://schemas.openxmlformats.org/officeDocument/2006/relationships/hyperlink" Target="https://uacm.edu.mx/organizacion/tesoreria" TargetMode="External"/><Relationship Id="rId18" Type="http://schemas.openxmlformats.org/officeDocument/2006/relationships/hyperlink" Target="https://uacm.edu.mx/organizacion/tesoreria" TargetMode="External"/><Relationship Id="rId167" Type="http://schemas.openxmlformats.org/officeDocument/2006/relationships/hyperlink" Target="https://uacm.edu.mx/organizacion/tesoreria" TargetMode="External"/><Relationship Id="rId374" Type="http://schemas.openxmlformats.org/officeDocument/2006/relationships/hyperlink" Target="https://uacm.edu.mx/organizacion/tesoreria" TargetMode="External"/><Relationship Id="rId581" Type="http://schemas.openxmlformats.org/officeDocument/2006/relationships/hyperlink" Target="https://uacm.edu.mx/organizacion/tesoreria" TargetMode="External"/><Relationship Id="rId234" Type="http://schemas.openxmlformats.org/officeDocument/2006/relationships/hyperlink" Target="https://uacm.edu.mx/organizacion/tesoreria" TargetMode="External"/><Relationship Id="rId679" Type="http://schemas.openxmlformats.org/officeDocument/2006/relationships/hyperlink" Target="https://uacm.edu.mx/organizacion/tesoreria" TargetMode="External"/><Relationship Id="rId886" Type="http://schemas.openxmlformats.org/officeDocument/2006/relationships/hyperlink" Target="https://uacm.edu.mx/organizacion/tesoreria" TargetMode="External"/><Relationship Id="rId2" Type="http://schemas.openxmlformats.org/officeDocument/2006/relationships/hyperlink" Target="https://uacm.edu.mx/organizacion/tesoreria" TargetMode="External"/><Relationship Id="rId441" Type="http://schemas.openxmlformats.org/officeDocument/2006/relationships/hyperlink" Target="https://uacm.edu.mx/organizacion/tesoreria" TargetMode="External"/><Relationship Id="rId539" Type="http://schemas.openxmlformats.org/officeDocument/2006/relationships/hyperlink" Target="https://uacm.edu.mx/organizacion/tesoreria" TargetMode="External"/><Relationship Id="rId746" Type="http://schemas.openxmlformats.org/officeDocument/2006/relationships/hyperlink" Target="https://uacm.edu.mx/organizacion/tesoreria" TargetMode="External"/><Relationship Id="rId1071" Type="http://schemas.openxmlformats.org/officeDocument/2006/relationships/hyperlink" Target="https://uacm.edu.mx/organizacion/tesoreria" TargetMode="External"/><Relationship Id="rId1169" Type="http://schemas.openxmlformats.org/officeDocument/2006/relationships/hyperlink" Target="https://uacm.edu.mx/organizacion/tesoreria" TargetMode="External"/><Relationship Id="rId1376" Type="http://schemas.openxmlformats.org/officeDocument/2006/relationships/hyperlink" Target="https://uacm.edu.mx/organizacion/tesoreria" TargetMode="External"/><Relationship Id="rId301" Type="http://schemas.openxmlformats.org/officeDocument/2006/relationships/hyperlink" Target="https://uacm.edu.mx/organizacion/tesoreria" TargetMode="External"/><Relationship Id="rId953" Type="http://schemas.openxmlformats.org/officeDocument/2006/relationships/hyperlink" Target="https://uacm.edu.mx/organizacion/tesoreria" TargetMode="External"/><Relationship Id="rId1029" Type="http://schemas.openxmlformats.org/officeDocument/2006/relationships/hyperlink" Target="https://uacm.edu.mx/organizacion/tesoreria" TargetMode="External"/><Relationship Id="rId1236" Type="http://schemas.openxmlformats.org/officeDocument/2006/relationships/hyperlink" Target="https://uacm.edu.mx/organizacion/tesoreria" TargetMode="External"/><Relationship Id="rId82" Type="http://schemas.openxmlformats.org/officeDocument/2006/relationships/hyperlink" Target="https://uacm.edu.mx/organizacion/tesoreria" TargetMode="External"/><Relationship Id="rId606" Type="http://schemas.openxmlformats.org/officeDocument/2006/relationships/hyperlink" Target="https://uacm.edu.mx/organizacion/tesoreria" TargetMode="External"/><Relationship Id="rId813" Type="http://schemas.openxmlformats.org/officeDocument/2006/relationships/hyperlink" Target="https://uacm.edu.mx/organizacion/tesoreria" TargetMode="External"/><Relationship Id="rId1443" Type="http://schemas.openxmlformats.org/officeDocument/2006/relationships/hyperlink" Target="https://uacm.edu.mx/organizacion/tesoreria" TargetMode="External"/><Relationship Id="rId1303" Type="http://schemas.openxmlformats.org/officeDocument/2006/relationships/hyperlink" Target="https://uacm.edu.mx/organizacion/tesoreria" TargetMode="External"/><Relationship Id="rId1510" Type="http://schemas.openxmlformats.org/officeDocument/2006/relationships/hyperlink" Target="https://uacm.edu.mx/organizacion/tesoreria" TargetMode="External"/><Relationship Id="rId189" Type="http://schemas.openxmlformats.org/officeDocument/2006/relationships/hyperlink" Target="https://uacm.edu.mx/organizacion/tesoreria" TargetMode="External"/><Relationship Id="rId396" Type="http://schemas.openxmlformats.org/officeDocument/2006/relationships/hyperlink" Target="https://uacm.edu.mx/organizacion/tesoreria" TargetMode="External"/><Relationship Id="rId256" Type="http://schemas.openxmlformats.org/officeDocument/2006/relationships/hyperlink" Target="https://uacm.edu.mx/organizacion/tesoreria" TargetMode="External"/><Relationship Id="rId463" Type="http://schemas.openxmlformats.org/officeDocument/2006/relationships/hyperlink" Target="https://uacm.edu.mx/organizacion/tesoreria" TargetMode="External"/><Relationship Id="rId670" Type="http://schemas.openxmlformats.org/officeDocument/2006/relationships/hyperlink" Target="https://uacm.edu.mx/organizacion/tesoreria" TargetMode="External"/><Relationship Id="rId1093" Type="http://schemas.openxmlformats.org/officeDocument/2006/relationships/hyperlink" Target="https://uacm.edu.mx/organizacion/tesoreria" TargetMode="External"/><Relationship Id="rId116" Type="http://schemas.openxmlformats.org/officeDocument/2006/relationships/hyperlink" Target="https://uacm.edu.mx/organizacion/tesoreria" TargetMode="External"/><Relationship Id="rId323" Type="http://schemas.openxmlformats.org/officeDocument/2006/relationships/hyperlink" Target="https://uacm.edu.mx/organizacion/tesoreria" TargetMode="External"/><Relationship Id="rId530" Type="http://schemas.openxmlformats.org/officeDocument/2006/relationships/hyperlink" Target="https://uacm.edu.mx/organizacion/tesoreria" TargetMode="External"/><Relationship Id="rId768" Type="http://schemas.openxmlformats.org/officeDocument/2006/relationships/hyperlink" Target="https://uacm.edu.mx/organizacion/tesoreria" TargetMode="External"/><Relationship Id="rId975" Type="http://schemas.openxmlformats.org/officeDocument/2006/relationships/hyperlink" Target="https://uacm.edu.mx/organizacion/tesoreria" TargetMode="External"/><Relationship Id="rId1160" Type="http://schemas.openxmlformats.org/officeDocument/2006/relationships/hyperlink" Target="https://uacm.edu.mx/organizacion/tesoreria" TargetMode="External"/><Relationship Id="rId1398" Type="http://schemas.openxmlformats.org/officeDocument/2006/relationships/hyperlink" Target="https://uacm.edu.mx/organizacion/tesoreria" TargetMode="External"/><Relationship Id="rId628" Type="http://schemas.openxmlformats.org/officeDocument/2006/relationships/hyperlink" Target="https://uacm.edu.mx/organizacion/tesoreria" TargetMode="External"/><Relationship Id="rId835" Type="http://schemas.openxmlformats.org/officeDocument/2006/relationships/hyperlink" Target="https://uacm.edu.mx/organizacion/tesoreria" TargetMode="External"/><Relationship Id="rId1258" Type="http://schemas.openxmlformats.org/officeDocument/2006/relationships/hyperlink" Target="https://uacm.edu.mx/organizacion/tesoreria" TargetMode="External"/><Relationship Id="rId1465" Type="http://schemas.openxmlformats.org/officeDocument/2006/relationships/hyperlink" Target="https://uacm.edu.mx/organizacion/tesoreria" TargetMode="External"/><Relationship Id="rId1020" Type="http://schemas.openxmlformats.org/officeDocument/2006/relationships/hyperlink" Target="https://uacm.edu.mx/organizacion/tesoreria" TargetMode="External"/><Relationship Id="rId1118" Type="http://schemas.openxmlformats.org/officeDocument/2006/relationships/hyperlink" Target="https://uacm.edu.mx/organizacion/tesoreria" TargetMode="External"/><Relationship Id="rId1325" Type="http://schemas.openxmlformats.org/officeDocument/2006/relationships/hyperlink" Target="https://uacm.edu.mx/organizacion/tesoreria" TargetMode="External"/><Relationship Id="rId1532" Type="http://schemas.openxmlformats.org/officeDocument/2006/relationships/hyperlink" Target="https://uacm.edu.mx/organizacion/tesoreria" TargetMode="External"/><Relationship Id="rId902" Type="http://schemas.openxmlformats.org/officeDocument/2006/relationships/hyperlink" Target="https://uacm.edu.mx/organizacion/tesoreria" TargetMode="External"/><Relationship Id="rId31" Type="http://schemas.openxmlformats.org/officeDocument/2006/relationships/hyperlink" Target="https://uacm.edu.mx/organizacion/tesoreria" TargetMode="External"/><Relationship Id="rId180" Type="http://schemas.openxmlformats.org/officeDocument/2006/relationships/hyperlink" Target="https://uacm.edu.mx/organizacion/tesoreria" TargetMode="External"/><Relationship Id="rId278" Type="http://schemas.openxmlformats.org/officeDocument/2006/relationships/hyperlink" Target="https://uacm.edu.mx/organizacion/tesoreria" TargetMode="External"/><Relationship Id="rId485" Type="http://schemas.openxmlformats.org/officeDocument/2006/relationships/hyperlink" Target="https://uacm.edu.mx/organizacion/tesoreria" TargetMode="External"/><Relationship Id="rId692" Type="http://schemas.openxmlformats.org/officeDocument/2006/relationships/hyperlink" Target="https://uacm.edu.mx/organizacion/tesoreria" TargetMode="External"/><Relationship Id="rId138" Type="http://schemas.openxmlformats.org/officeDocument/2006/relationships/hyperlink" Target="https://uacm.edu.mx/organizacion/tesoreria" TargetMode="External"/><Relationship Id="rId345" Type="http://schemas.openxmlformats.org/officeDocument/2006/relationships/hyperlink" Target="https://uacm.edu.mx/organizacion/tesoreria" TargetMode="External"/><Relationship Id="rId552" Type="http://schemas.openxmlformats.org/officeDocument/2006/relationships/hyperlink" Target="https://uacm.edu.mx/organizacion/tesoreria" TargetMode="External"/><Relationship Id="rId997" Type="http://schemas.openxmlformats.org/officeDocument/2006/relationships/hyperlink" Target="https://uacm.edu.mx/organizacion/tesoreria" TargetMode="External"/><Relationship Id="rId1182" Type="http://schemas.openxmlformats.org/officeDocument/2006/relationships/hyperlink" Target="https://uacm.edu.mx/organizacion/tesoreria" TargetMode="External"/><Relationship Id="rId205" Type="http://schemas.openxmlformats.org/officeDocument/2006/relationships/hyperlink" Target="https://uacm.edu.mx/organizacion/tesoreria" TargetMode="External"/><Relationship Id="rId412" Type="http://schemas.openxmlformats.org/officeDocument/2006/relationships/hyperlink" Target="https://uacm.edu.mx/organizacion/tesoreria" TargetMode="External"/><Relationship Id="rId857" Type="http://schemas.openxmlformats.org/officeDocument/2006/relationships/hyperlink" Target="https://uacm.edu.mx/organizacion/tesoreria" TargetMode="External"/><Relationship Id="rId1042" Type="http://schemas.openxmlformats.org/officeDocument/2006/relationships/hyperlink" Target="https://uacm.edu.mx/organizacion/tesoreria" TargetMode="External"/><Relationship Id="rId1487" Type="http://schemas.openxmlformats.org/officeDocument/2006/relationships/hyperlink" Target="https://uacm.edu.mx/organizacion/tesoreria" TargetMode="External"/><Relationship Id="rId717" Type="http://schemas.openxmlformats.org/officeDocument/2006/relationships/hyperlink" Target="https://uacm.edu.mx/organizacion/tesoreria" TargetMode="External"/><Relationship Id="rId924" Type="http://schemas.openxmlformats.org/officeDocument/2006/relationships/hyperlink" Target="https://uacm.edu.mx/organizacion/tesoreria" TargetMode="External"/><Relationship Id="rId1347" Type="http://schemas.openxmlformats.org/officeDocument/2006/relationships/hyperlink" Target="https://uacm.edu.mx/organizacion/tesoreria" TargetMode="External"/><Relationship Id="rId53" Type="http://schemas.openxmlformats.org/officeDocument/2006/relationships/hyperlink" Target="https://uacm.edu.mx/organizacion/tesoreria" TargetMode="External"/><Relationship Id="rId1207" Type="http://schemas.openxmlformats.org/officeDocument/2006/relationships/hyperlink" Target="https://uacm.edu.mx/organizacion/tesoreria" TargetMode="External"/><Relationship Id="rId1414" Type="http://schemas.openxmlformats.org/officeDocument/2006/relationships/hyperlink" Target="https://uacm.edu.mx/organizacion/tesoreria" TargetMode="External"/><Relationship Id="rId367" Type="http://schemas.openxmlformats.org/officeDocument/2006/relationships/hyperlink" Target="https://uacm.edu.mx/organizacion/tesoreria" TargetMode="External"/><Relationship Id="rId574" Type="http://schemas.openxmlformats.org/officeDocument/2006/relationships/hyperlink" Target="https://uacm.edu.mx/organizacion/tesoreria" TargetMode="External"/><Relationship Id="rId227" Type="http://schemas.openxmlformats.org/officeDocument/2006/relationships/hyperlink" Target="https://uacm.edu.mx/organizacion/tesoreria" TargetMode="External"/><Relationship Id="rId781" Type="http://schemas.openxmlformats.org/officeDocument/2006/relationships/hyperlink" Target="https://uacm.edu.mx/organizacion/tesoreria" TargetMode="External"/><Relationship Id="rId879" Type="http://schemas.openxmlformats.org/officeDocument/2006/relationships/hyperlink" Target="https://uacm.edu.mx/organizacion/tesoreria" TargetMode="External"/><Relationship Id="rId434" Type="http://schemas.openxmlformats.org/officeDocument/2006/relationships/hyperlink" Target="https://uacm.edu.mx/organizacion/tesoreria" TargetMode="External"/><Relationship Id="rId641" Type="http://schemas.openxmlformats.org/officeDocument/2006/relationships/hyperlink" Target="https://uacm.edu.mx/organizacion/tesoreria" TargetMode="External"/><Relationship Id="rId739" Type="http://schemas.openxmlformats.org/officeDocument/2006/relationships/hyperlink" Target="https://uacm.edu.mx/organizacion/tesoreria" TargetMode="External"/><Relationship Id="rId1064" Type="http://schemas.openxmlformats.org/officeDocument/2006/relationships/hyperlink" Target="https://uacm.edu.mx/organizacion/tesoreria" TargetMode="External"/><Relationship Id="rId1271" Type="http://schemas.openxmlformats.org/officeDocument/2006/relationships/hyperlink" Target="https://uacm.edu.mx/organizacion/tesoreria" TargetMode="External"/><Relationship Id="rId1369" Type="http://schemas.openxmlformats.org/officeDocument/2006/relationships/hyperlink" Target="https://uacm.edu.mx/organizacion/tesoreria" TargetMode="External"/><Relationship Id="rId501" Type="http://schemas.openxmlformats.org/officeDocument/2006/relationships/hyperlink" Target="https://uacm.edu.mx/organizacion/tesoreria" TargetMode="External"/><Relationship Id="rId946" Type="http://schemas.openxmlformats.org/officeDocument/2006/relationships/hyperlink" Target="https://uacm.edu.mx/organizacion/tesoreria" TargetMode="External"/><Relationship Id="rId1131" Type="http://schemas.openxmlformats.org/officeDocument/2006/relationships/hyperlink" Target="https://uacm.edu.mx/organizacion/tesoreria" TargetMode="External"/><Relationship Id="rId1229" Type="http://schemas.openxmlformats.org/officeDocument/2006/relationships/hyperlink" Target="https://uacm.edu.mx/organizacion/tesoreria" TargetMode="External"/><Relationship Id="rId75" Type="http://schemas.openxmlformats.org/officeDocument/2006/relationships/hyperlink" Target="https://uacm.edu.mx/organizacion/tesoreria" TargetMode="External"/><Relationship Id="rId806" Type="http://schemas.openxmlformats.org/officeDocument/2006/relationships/hyperlink" Target="https://uacm.edu.mx/organizacion/tesoreria" TargetMode="External"/><Relationship Id="rId1436" Type="http://schemas.openxmlformats.org/officeDocument/2006/relationships/hyperlink" Target="https://uacm.edu.mx/organizacion/tesoreria" TargetMode="External"/><Relationship Id="rId1503" Type="http://schemas.openxmlformats.org/officeDocument/2006/relationships/hyperlink" Target="https://uacm.edu.mx/organizacion/tesoreria" TargetMode="External"/><Relationship Id="rId291" Type="http://schemas.openxmlformats.org/officeDocument/2006/relationships/hyperlink" Target="https://uacm.edu.mx/organizacion/tesoreria" TargetMode="External"/><Relationship Id="rId151" Type="http://schemas.openxmlformats.org/officeDocument/2006/relationships/hyperlink" Target="https://uacm.edu.mx/organizacion/tesoreria" TargetMode="External"/><Relationship Id="rId389" Type="http://schemas.openxmlformats.org/officeDocument/2006/relationships/hyperlink" Target="https://uacm.edu.mx/organizacion/tesoreria" TargetMode="External"/><Relationship Id="rId596" Type="http://schemas.openxmlformats.org/officeDocument/2006/relationships/hyperlink" Target="https://uacm.edu.mx/organizacion/tesoreria" TargetMode="External"/><Relationship Id="rId249" Type="http://schemas.openxmlformats.org/officeDocument/2006/relationships/hyperlink" Target="https://uacm.edu.mx/organizacion/tesoreria" TargetMode="External"/><Relationship Id="rId456" Type="http://schemas.openxmlformats.org/officeDocument/2006/relationships/hyperlink" Target="https://uacm.edu.mx/organizacion/tesoreria" TargetMode="External"/><Relationship Id="rId663" Type="http://schemas.openxmlformats.org/officeDocument/2006/relationships/hyperlink" Target="https://uacm.edu.mx/organizacion/tesoreria" TargetMode="External"/><Relationship Id="rId870" Type="http://schemas.openxmlformats.org/officeDocument/2006/relationships/hyperlink" Target="https://uacm.edu.mx/organizacion/tesoreria" TargetMode="External"/><Relationship Id="rId1086" Type="http://schemas.openxmlformats.org/officeDocument/2006/relationships/hyperlink" Target="https://uacm.edu.mx/organizacion/tesoreria" TargetMode="External"/><Relationship Id="rId1293" Type="http://schemas.openxmlformats.org/officeDocument/2006/relationships/hyperlink" Target="https://uacm.edu.mx/organizacion/tesoreria" TargetMode="External"/><Relationship Id="rId109" Type="http://schemas.openxmlformats.org/officeDocument/2006/relationships/hyperlink" Target="https://uacm.edu.mx/organizacion/tesoreria" TargetMode="External"/><Relationship Id="rId316" Type="http://schemas.openxmlformats.org/officeDocument/2006/relationships/hyperlink" Target="https://uacm.edu.mx/organizacion/tesoreria" TargetMode="External"/><Relationship Id="rId523" Type="http://schemas.openxmlformats.org/officeDocument/2006/relationships/hyperlink" Target="https://uacm.edu.mx/organizacion/tesoreria" TargetMode="External"/><Relationship Id="rId968" Type="http://schemas.openxmlformats.org/officeDocument/2006/relationships/hyperlink" Target="https://uacm.edu.mx/organizacion/tesoreria" TargetMode="External"/><Relationship Id="rId1153" Type="http://schemas.openxmlformats.org/officeDocument/2006/relationships/hyperlink" Target="https://uacm.edu.mx/organizacion/tesoreria" TargetMode="External"/><Relationship Id="rId97" Type="http://schemas.openxmlformats.org/officeDocument/2006/relationships/hyperlink" Target="https://uacm.edu.mx/organizacion/tesoreria" TargetMode="External"/><Relationship Id="rId730" Type="http://schemas.openxmlformats.org/officeDocument/2006/relationships/hyperlink" Target="https://uacm.edu.mx/organizacion/tesoreria" TargetMode="External"/><Relationship Id="rId828" Type="http://schemas.openxmlformats.org/officeDocument/2006/relationships/hyperlink" Target="https://uacm.edu.mx/organizacion/tesoreria" TargetMode="External"/><Relationship Id="rId1013" Type="http://schemas.openxmlformats.org/officeDocument/2006/relationships/hyperlink" Target="https://uacm.edu.mx/organizacion/tesoreria" TargetMode="External"/><Relationship Id="rId1360" Type="http://schemas.openxmlformats.org/officeDocument/2006/relationships/hyperlink" Target="https://uacm.edu.mx/organizacion/tesoreria" TargetMode="External"/><Relationship Id="rId1458" Type="http://schemas.openxmlformats.org/officeDocument/2006/relationships/hyperlink" Target="https://uacm.edu.mx/organizacion/tesoreria" TargetMode="External"/><Relationship Id="rId1220" Type="http://schemas.openxmlformats.org/officeDocument/2006/relationships/hyperlink" Target="https://uacm.edu.mx/organizacion/tesoreria" TargetMode="External"/><Relationship Id="rId1318" Type="http://schemas.openxmlformats.org/officeDocument/2006/relationships/hyperlink" Target="https://uacm.edu.mx/organizacion/tesoreria" TargetMode="External"/><Relationship Id="rId1525" Type="http://schemas.openxmlformats.org/officeDocument/2006/relationships/hyperlink" Target="https://uacm.edu.mx/organizacion/tesoreria" TargetMode="External"/><Relationship Id="rId24" Type="http://schemas.openxmlformats.org/officeDocument/2006/relationships/hyperlink" Target="https://uacm.edu.mx/organizacion/tesoreria" TargetMode="External"/><Relationship Id="rId173" Type="http://schemas.openxmlformats.org/officeDocument/2006/relationships/hyperlink" Target="https://uacm.edu.mx/organizacion/tesoreria" TargetMode="External"/><Relationship Id="rId380" Type="http://schemas.openxmlformats.org/officeDocument/2006/relationships/hyperlink" Target="https://uacm.edu.mx/organizacion/tesoreria" TargetMode="External"/><Relationship Id="rId240" Type="http://schemas.openxmlformats.org/officeDocument/2006/relationships/hyperlink" Target="https://uacm.edu.mx/organizacion/tesoreria" TargetMode="External"/><Relationship Id="rId478" Type="http://schemas.openxmlformats.org/officeDocument/2006/relationships/hyperlink" Target="https://uacm.edu.mx/organizacion/tesoreria" TargetMode="External"/><Relationship Id="rId685" Type="http://schemas.openxmlformats.org/officeDocument/2006/relationships/hyperlink" Target="https://uacm.edu.mx/organizacion/tesoreria" TargetMode="External"/><Relationship Id="rId892" Type="http://schemas.openxmlformats.org/officeDocument/2006/relationships/hyperlink" Target="https://uacm.edu.mx/organizacion/tesoreria" TargetMode="External"/><Relationship Id="rId100" Type="http://schemas.openxmlformats.org/officeDocument/2006/relationships/hyperlink" Target="https://uacm.edu.mx/organizacion/tesoreria" TargetMode="External"/><Relationship Id="rId338" Type="http://schemas.openxmlformats.org/officeDocument/2006/relationships/hyperlink" Target="https://uacm.edu.mx/organizacion/tesoreria" TargetMode="External"/><Relationship Id="rId545" Type="http://schemas.openxmlformats.org/officeDocument/2006/relationships/hyperlink" Target="https://uacm.edu.mx/organizacion/tesoreria" TargetMode="External"/><Relationship Id="rId752" Type="http://schemas.openxmlformats.org/officeDocument/2006/relationships/hyperlink" Target="https://uacm.edu.mx/organizacion/tesoreria" TargetMode="External"/><Relationship Id="rId1175" Type="http://schemas.openxmlformats.org/officeDocument/2006/relationships/hyperlink" Target="https://uacm.edu.mx/organizacion/tesoreria" TargetMode="External"/><Relationship Id="rId1382" Type="http://schemas.openxmlformats.org/officeDocument/2006/relationships/hyperlink" Target="https://uacm.edu.mx/organizacion/tesoreria" TargetMode="External"/><Relationship Id="rId405" Type="http://schemas.openxmlformats.org/officeDocument/2006/relationships/hyperlink" Target="https://uacm.edu.mx/organizacion/tesoreria" TargetMode="External"/><Relationship Id="rId612" Type="http://schemas.openxmlformats.org/officeDocument/2006/relationships/hyperlink" Target="https://uacm.edu.mx/organizacion/tesoreria" TargetMode="External"/><Relationship Id="rId1035" Type="http://schemas.openxmlformats.org/officeDocument/2006/relationships/hyperlink" Target="https://uacm.edu.mx/organizacion/tesoreria" TargetMode="External"/><Relationship Id="rId1242" Type="http://schemas.openxmlformats.org/officeDocument/2006/relationships/hyperlink" Target="https://uacm.edu.mx/organizacion/tesoreria" TargetMode="External"/><Relationship Id="rId917" Type="http://schemas.openxmlformats.org/officeDocument/2006/relationships/hyperlink" Target="https://uacm.edu.mx/organizacion/tesoreria" TargetMode="External"/><Relationship Id="rId1102" Type="http://schemas.openxmlformats.org/officeDocument/2006/relationships/hyperlink" Target="https://uacm.edu.mx/organizacion/tesoreria" TargetMode="External"/><Relationship Id="rId1547" Type="http://schemas.openxmlformats.org/officeDocument/2006/relationships/hyperlink" Target="https://uacm.edu.mx/organizacion/tesoreria" TargetMode="External"/><Relationship Id="rId46" Type="http://schemas.openxmlformats.org/officeDocument/2006/relationships/hyperlink" Target="https://uacm.edu.mx/organizacion/tesoreria" TargetMode="External"/><Relationship Id="rId1407" Type="http://schemas.openxmlformats.org/officeDocument/2006/relationships/hyperlink" Target="https://uacm.edu.mx/organizacion/tesoreria" TargetMode="External"/><Relationship Id="rId195" Type="http://schemas.openxmlformats.org/officeDocument/2006/relationships/hyperlink" Target="https://uacm.edu.mx/organizacion/tesoreria" TargetMode="External"/><Relationship Id="rId262" Type="http://schemas.openxmlformats.org/officeDocument/2006/relationships/hyperlink" Target="https://uacm.edu.mx/organizacion/tesoreria" TargetMode="External"/><Relationship Id="rId567" Type="http://schemas.openxmlformats.org/officeDocument/2006/relationships/hyperlink" Target="https://uacm.edu.mx/organizacion/tesoreria" TargetMode="External"/><Relationship Id="rId1197" Type="http://schemas.openxmlformats.org/officeDocument/2006/relationships/hyperlink" Target="https://uacm.edu.mx/organizacion/tesoreria" TargetMode="External"/><Relationship Id="rId122" Type="http://schemas.openxmlformats.org/officeDocument/2006/relationships/hyperlink" Target="https://uacm.edu.mx/organizacion/tesoreria" TargetMode="External"/><Relationship Id="rId774" Type="http://schemas.openxmlformats.org/officeDocument/2006/relationships/hyperlink" Target="https://uacm.edu.mx/organizacion/tesoreria" TargetMode="External"/><Relationship Id="rId981" Type="http://schemas.openxmlformats.org/officeDocument/2006/relationships/hyperlink" Target="https://uacm.edu.mx/organizacion/tesoreria" TargetMode="External"/><Relationship Id="rId1057" Type="http://schemas.openxmlformats.org/officeDocument/2006/relationships/hyperlink" Target="https://uacm.edu.mx/organizacion/tesoreria" TargetMode="External"/><Relationship Id="rId427" Type="http://schemas.openxmlformats.org/officeDocument/2006/relationships/hyperlink" Target="https://uacm.edu.mx/organizacion/tesoreria" TargetMode="External"/><Relationship Id="rId634" Type="http://schemas.openxmlformats.org/officeDocument/2006/relationships/hyperlink" Target="https://uacm.edu.mx/organizacion/tesoreria" TargetMode="External"/><Relationship Id="rId841" Type="http://schemas.openxmlformats.org/officeDocument/2006/relationships/hyperlink" Target="https://uacm.edu.mx/organizacion/tesoreria" TargetMode="External"/><Relationship Id="rId1264" Type="http://schemas.openxmlformats.org/officeDocument/2006/relationships/hyperlink" Target="https://uacm.edu.mx/organizacion/tesoreria" TargetMode="External"/><Relationship Id="rId1471" Type="http://schemas.openxmlformats.org/officeDocument/2006/relationships/hyperlink" Target="https://uacm.edu.mx/organizacion/tesoreria" TargetMode="External"/><Relationship Id="rId701" Type="http://schemas.openxmlformats.org/officeDocument/2006/relationships/hyperlink" Target="https://uacm.edu.mx/organizacion/tesoreria" TargetMode="External"/><Relationship Id="rId939" Type="http://schemas.openxmlformats.org/officeDocument/2006/relationships/hyperlink" Target="https://uacm.edu.mx/organizacion/tesoreria" TargetMode="External"/><Relationship Id="rId1124" Type="http://schemas.openxmlformats.org/officeDocument/2006/relationships/hyperlink" Target="https://uacm.edu.mx/organizacion/tesoreria" TargetMode="External"/><Relationship Id="rId1331" Type="http://schemas.openxmlformats.org/officeDocument/2006/relationships/hyperlink" Target="https://uacm.edu.mx/organizacion/tesoreria" TargetMode="External"/><Relationship Id="rId68" Type="http://schemas.openxmlformats.org/officeDocument/2006/relationships/hyperlink" Target="https://uacm.edu.mx/organizacion/tesoreria" TargetMode="External"/><Relationship Id="rId1429" Type="http://schemas.openxmlformats.org/officeDocument/2006/relationships/hyperlink" Target="https://uacm.edu.mx/organizacion/tesoreria" TargetMode="External"/><Relationship Id="rId284" Type="http://schemas.openxmlformats.org/officeDocument/2006/relationships/hyperlink" Target="https://uacm.edu.mx/organizacion/tesoreria" TargetMode="External"/><Relationship Id="rId491" Type="http://schemas.openxmlformats.org/officeDocument/2006/relationships/hyperlink" Target="https://uacm.edu.mx/organizacion/tesoreria" TargetMode="External"/><Relationship Id="rId144" Type="http://schemas.openxmlformats.org/officeDocument/2006/relationships/hyperlink" Target="https://uacm.edu.mx/organizacion/tesoreria" TargetMode="External"/><Relationship Id="rId589" Type="http://schemas.openxmlformats.org/officeDocument/2006/relationships/hyperlink" Target="https://uacm.edu.mx/organizacion/tesoreria" TargetMode="External"/><Relationship Id="rId796" Type="http://schemas.openxmlformats.org/officeDocument/2006/relationships/hyperlink" Target="https://uacm.edu.mx/organizacion/tesoreria" TargetMode="External"/><Relationship Id="rId351" Type="http://schemas.openxmlformats.org/officeDocument/2006/relationships/hyperlink" Target="https://uacm.edu.mx/organizacion/tesoreria" TargetMode="External"/><Relationship Id="rId449" Type="http://schemas.openxmlformats.org/officeDocument/2006/relationships/hyperlink" Target="https://uacm.edu.mx/organizacion/tesoreria" TargetMode="External"/><Relationship Id="rId656" Type="http://schemas.openxmlformats.org/officeDocument/2006/relationships/hyperlink" Target="https://uacm.edu.mx/organizacion/tesoreria" TargetMode="External"/><Relationship Id="rId863" Type="http://schemas.openxmlformats.org/officeDocument/2006/relationships/hyperlink" Target="https://uacm.edu.mx/organizacion/tesoreria" TargetMode="External"/><Relationship Id="rId1079" Type="http://schemas.openxmlformats.org/officeDocument/2006/relationships/hyperlink" Target="https://uacm.edu.mx/organizacion/tesoreria" TargetMode="External"/><Relationship Id="rId1286" Type="http://schemas.openxmlformats.org/officeDocument/2006/relationships/hyperlink" Target="https://uacm.edu.mx/organizacion/tesoreria" TargetMode="External"/><Relationship Id="rId1493" Type="http://schemas.openxmlformats.org/officeDocument/2006/relationships/hyperlink" Target="https://uacm.edu.mx/organizacion/tesoreria" TargetMode="External"/><Relationship Id="rId211" Type="http://schemas.openxmlformats.org/officeDocument/2006/relationships/hyperlink" Target="https://uacm.edu.mx/organizacion/tesoreria" TargetMode="External"/><Relationship Id="rId309" Type="http://schemas.openxmlformats.org/officeDocument/2006/relationships/hyperlink" Target="https://uacm.edu.mx/organizacion/tesoreria" TargetMode="External"/><Relationship Id="rId516" Type="http://schemas.openxmlformats.org/officeDocument/2006/relationships/hyperlink" Target="https://uacm.edu.mx/organizacion/tesoreria" TargetMode="External"/><Relationship Id="rId1146" Type="http://schemas.openxmlformats.org/officeDocument/2006/relationships/hyperlink" Target="https://uacm.edu.mx/organizacion/tesoreria" TargetMode="External"/><Relationship Id="rId723" Type="http://schemas.openxmlformats.org/officeDocument/2006/relationships/hyperlink" Target="https://uacm.edu.mx/organizacion/tesoreria" TargetMode="External"/><Relationship Id="rId930" Type="http://schemas.openxmlformats.org/officeDocument/2006/relationships/hyperlink" Target="https://uacm.edu.mx/organizacion/tesoreria" TargetMode="External"/><Relationship Id="rId1006" Type="http://schemas.openxmlformats.org/officeDocument/2006/relationships/hyperlink" Target="https://uacm.edu.mx/organizacion/tesoreria" TargetMode="External"/><Relationship Id="rId1353" Type="http://schemas.openxmlformats.org/officeDocument/2006/relationships/hyperlink" Target="https://uacm.edu.mx/organizacion/tesoreria" TargetMode="External"/><Relationship Id="rId1213" Type="http://schemas.openxmlformats.org/officeDocument/2006/relationships/hyperlink" Target="https://uacm.edu.mx/organizacion/tesoreria" TargetMode="External"/><Relationship Id="rId1420" Type="http://schemas.openxmlformats.org/officeDocument/2006/relationships/hyperlink" Target="https://uacm.edu.mx/organizacion/tesoreria" TargetMode="External"/><Relationship Id="rId1518" Type="http://schemas.openxmlformats.org/officeDocument/2006/relationships/hyperlink" Target="https://uacm.edu.mx/organizacion/tesoreria" TargetMode="External"/><Relationship Id="rId17" Type="http://schemas.openxmlformats.org/officeDocument/2006/relationships/hyperlink" Target="https://uacm.edu.mx/organizacion/tesoreria" TargetMode="External"/><Relationship Id="rId166" Type="http://schemas.openxmlformats.org/officeDocument/2006/relationships/hyperlink" Target="https://uacm.edu.mx/organizacion/tesoreria" TargetMode="External"/><Relationship Id="rId373" Type="http://schemas.openxmlformats.org/officeDocument/2006/relationships/hyperlink" Target="https://uacm.edu.mx/organizacion/tesoreria" TargetMode="External"/><Relationship Id="rId580" Type="http://schemas.openxmlformats.org/officeDocument/2006/relationships/hyperlink" Target="https://uacm.edu.mx/organizacion/tesoreria" TargetMode="External"/><Relationship Id="rId1" Type="http://schemas.openxmlformats.org/officeDocument/2006/relationships/hyperlink" Target="https://uacm.edu.mx/organizacion/tesoreria" TargetMode="External"/><Relationship Id="rId233" Type="http://schemas.openxmlformats.org/officeDocument/2006/relationships/hyperlink" Target="https://uacm.edu.mx/organizacion/tesoreria" TargetMode="External"/><Relationship Id="rId440" Type="http://schemas.openxmlformats.org/officeDocument/2006/relationships/hyperlink" Target="https://uacm.edu.mx/organizacion/tesoreria" TargetMode="External"/><Relationship Id="rId678" Type="http://schemas.openxmlformats.org/officeDocument/2006/relationships/hyperlink" Target="https://uacm.edu.mx/organizacion/tesoreria" TargetMode="External"/><Relationship Id="rId885" Type="http://schemas.openxmlformats.org/officeDocument/2006/relationships/hyperlink" Target="https://uacm.edu.mx/organizacion/tesoreria" TargetMode="External"/><Relationship Id="rId1070" Type="http://schemas.openxmlformats.org/officeDocument/2006/relationships/hyperlink" Target="https://uacm.edu.mx/organizacion/tesoreria" TargetMode="External"/><Relationship Id="rId300" Type="http://schemas.openxmlformats.org/officeDocument/2006/relationships/hyperlink" Target="https://uacm.edu.mx/organizacion/tesoreria" TargetMode="External"/><Relationship Id="rId538" Type="http://schemas.openxmlformats.org/officeDocument/2006/relationships/hyperlink" Target="https://uacm.edu.mx/organizacion/tesoreria" TargetMode="External"/><Relationship Id="rId745" Type="http://schemas.openxmlformats.org/officeDocument/2006/relationships/hyperlink" Target="https://uacm.edu.mx/organizacion/tesoreria" TargetMode="External"/><Relationship Id="rId952" Type="http://schemas.openxmlformats.org/officeDocument/2006/relationships/hyperlink" Target="https://uacm.edu.mx/organizacion/tesoreria" TargetMode="External"/><Relationship Id="rId1168" Type="http://schemas.openxmlformats.org/officeDocument/2006/relationships/hyperlink" Target="https://uacm.edu.mx/organizacion/tesoreria" TargetMode="External"/><Relationship Id="rId1375" Type="http://schemas.openxmlformats.org/officeDocument/2006/relationships/hyperlink" Target="https://uacm.edu.mx/organizacion/tesoreria" TargetMode="External"/><Relationship Id="rId81" Type="http://schemas.openxmlformats.org/officeDocument/2006/relationships/hyperlink" Target="https://uacm.edu.mx/organizacion/tesoreria" TargetMode="External"/><Relationship Id="rId605" Type="http://schemas.openxmlformats.org/officeDocument/2006/relationships/hyperlink" Target="https://uacm.edu.mx/organizacion/tesoreria" TargetMode="External"/><Relationship Id="rId812" Type="http://schemas.openxmlformats.org/officeDocument/2006/relationships/hyperlink" Target="https://uacm.edu.mx/organizacion/tesoreria" TargetMode="External"/><Relationship Id="rId1028" Type="http://schemas.openxmlformats.org/officeDocument/2006/relationships/hyperlink" Target="https://uacm.edu.mx/organizacion/tesoreria" TargetMode="External"/><Relationship Id="rId1235" Type="http://schemas.openxmlformats.org/officeDocument/2006/relationships/hyperlink" Target="https://uacm.edu.mx/organizacion/tesoreria" TargetMode="External"/><Relationship Id="rId1442" Type="http://schemas.openxmlformats.org/officeDocument/2006/relationships/hyperlink" Target="https://uacm.edu.mx/organizacion/tesoreria" TargetMode="External"/><Relationship Id="rId1302" Type="http://schemas.openxmlformats.org/officeDocument/2006/relationships/hyperlink" Target="https://uacm.edu.mx/organizacion/tesoreria" TargetMode="External"/><Relationship Id="rId39" Type="http://schemas.openxmlformats.org/officeDocument/2006/relationships/hyperlink" Target="https://uacm.edu.mx/organizacion/tesoreria" TargetMode="External"/><Relationship Id="rId188" Type="http://schemas.openxmlformats.org/officeDocument/2006/relationships/hyperlink" Target="https://uacm.edu.mx/organizacion/tesoreria" TargetMode="External"/><Relationship Id="rId395" Type="http://schemas.openxmlformats.org/officeDocument/2006/relationships/hyperlink" Target="https://uacm.edu.mx/organizacion/tesoreria" TargetMode="External"/><Relationship Id="rId255" Type="http://schemas.openxmlformats.org/officeDocument/2006/relationships/hyperlink" Target="https://uacm.edu.mx/organizacion/tesoreria" TargetMode="External"/><Relationship Id="rId462" Type="http://schemas.openxmlformats.org/officeDocument/2006/relationships/hyperlink" Target="https://uacm.edu.mx/organizacion/tesoreria" TargetMode="External"/><Relationship Id="rId1092" Type="http://schemas.openxmlformats.org/officeDocument/2006/relationships/hyperlink" Target="https://uacm.edu.mx/organizacion/tesoreria" TargetMode="External"/><Relationship Id="rId1397" Type="http://schemas.openxmlformats.org/officeDocument/2006/relationships/hyperlink" Target="https://uacm.edu.mx/organizacion/tesoreria" TargetMode="External"/><Relationship Id="rId115" Type="http://schemas.openxmlformats.org/officeDocument/2006/relationships/hyperlink" Target="https://uacm.edu.mx/organizacion/tesoreria" TargetMode="External"/><Relationship Id="rId322" Type="http://schemas.openxmlformats.org/officeDocument/2006/relationships/hyperlink" Target="https://uacm.edu.mx/organizacion/tesoreria" TargetMode="External"/><Relationship Id="rId767" Type="http://schemas.openxmlformats.org/officeDocument/2006/relationships/hyperlink" Target="https://uacm.edu.mx/organizacion/tesoreria" TargetMode="External"/><Relationship Id="rId974" Type="http://schemas.openxmlformats.org/officeDocument/2006/relationships/hyperlink" Target="https://uacm.edu.mx/organizacion/tesoreria" TargetMode="External"/><Relationship Id="rId627" Type="http://schemas.openxmlformats.org/officeDocument/2006/relationships/hyperlink" Target="https://uacm.edu.mx/organizacion/tesoreria" TargetMode="External"/><Relationship Id="rId834" Type="http://schemas.openxmlformats.org/officeDocument/2006/relationships/hyperlink" Target="https://uacm.edu.mx/organizacion/tesoreria" TargetMode="External"/><Relationship Id="rId1257" Type="http://schemas.openxmlformats.org/officeDocument/2006/relationships/hyperlink" Target="https://uacm.edu.mx/organizacion/tesoreria" TargetMode="External"/><Relationship Id="rId1464" Type="http://schemas.openxmlformats.org/officeDocument/2006/relationships/hyperlink" Target="https://uacm.edu.mx/organizacion/tesoreria" TargetMode="External"/><Relationship Id="rId901" Type="http://schemas.openxmlformats.org/officeDocument/2006/relationships/hyperlink" Target="https://uacm.edu.mx/organizacion/tesoreria" TargetMode="External"/><Relationship Id="rId1117" Type="http://schemas.openxmlformats.org/officeDocument/2006/relationships/hyperlink" Target="https://uacm.edu.mx/organizacion/tesoreria" TargetMode="External"/><Relationship Id="rId1324" Type="http://schemas.openxmlformats.org/officeDocument/2006/relationships/hyperlink" Target="https://uacm.edu.mx/organizacion/tesoreria" TargetMode="External"/><Relationship Id="rId1531" Type="http://schemas.openxmlformats.org/officeDocument/2006/relationships/hyperlink" Target="https://uacm.edu.mx/organizacion/tesoreria" TargetMode="External"/><Relationship Id="rId30" Type="http://schemas.openxmlformats.org/officeDocument/2006/relationships/hyperlink" Target="https://uacm.edu.mx/organizacion/tesoreria" TargetMode="External"/><Relationship Id="rId277" Type="http://schemas.openxmlformats.org/officeDocument/2006/relationships/hyperlink" Target="https://uacm.edu.mx/organizacion/tesoreria" TargetMode="External"/><Relationship Id="rId484" Type="http://schemas.openxmlformats.org/officeDocument/2006/relationships/hyperlink" Target="https://uacm.edu.mx/organizacion/tesoreria" TargetMode="External"/><Relationship Id="rId137" Type="http://schemas.openxmlformats.org/officeDocument/2006/relationships/hyperlink" Target="https://uacm.edu.mx/organizacion/tesoreria" TargetMode="External"/><Relationship Id="rId344" Type="http://schemas.openxmlformats.org/officeDocument/2006/relationships/hyperlink" Target="https://uacm.edu.mx/organizacion/tesoreria" TargetMode="External"/><Relationship Id="rId691" Type="http://schemas.openxmlformats.org/officeDocument/2006/relationships/hyperlink" Target="https://uacm.edu.mx/organizacion/tesoreria" TargetMode="External"/><Relationship Id="rId789" Type="http://schemas.openxmlformats.org/officeDocument/2006/relationships/hyperlink" Target="https://uacm.edu.mx/organizacion/tesoreria" TargetMode="External"/><Relationship Id="rId996" Type="http://schemas.openxmlformats.org/officeDocument/2006/relationships/hyperlink" Target="https://uacm.edu.mx/organizacion/tesoreria" TargetMode="External"/><Relationship Id="rId551" Type="http://schemas.openxmlformats.org/officeDocument/2006/relationships/hyperlink" Target="https://uacm.edu.mx/organizacion/tesoreria" TargetMode="External"/><Relationship Id="rId649" Type="http://schemas.openxmlformats.org/officeDocument/2006/relationships/hyperlink" Target="https://uacm.edu.mx/organizacion/tesoreria" TargetMode="External"/><Relationship Id="rId856" Type="http://schemas.openxmlformats.org/officeDocument/2006/relationships/hyperlink" Target="https://uacm.edu.mx/organizacion/tesoreria" TargetMode="External"/><Relationship Id="rId1181" Type="http://schemas.openxmlformats.org/officeDocument/2006/relationships/hyperlink" Target="https://uacm.edu.mx/organizacion/tesoreria" TargetMode="External"/><Relationship Id="rId1279" Type="http://schemas.openxmlformats.org/officeDocument/2006/relationships/hyperlink" Target="https://uacm.edu.mx/organizacion/tesoreria" TargetMode="External"/><Relationship Id="rId1486" Type="http://schemas.openxmlformats.org/officeDocument/2006/relationships/hyperlink" Target="https://uacm.edu.mx/organizacion/tesoreria" TargetMode="External"/><Relationship Id="rId204" Type="http://schemas.openxmlformats.org/officeDocument/2006/relationships/hyperlink" Target="https://uacm.edu.mx/organizacion/tesoreria" TargetMode="External"/><Relationship Id="rId411" Type="http://schemas.openxmlformats.org/officeDocument/2006/relationships/hyperlink" Target="https://uacm.edu.mx/organizacion/tesoreria" TargetMode="External"/><Relationship Id="rId509" Type="http://schemas.openxmlformats.org/officeDocument/2006/relationships/hyperlink" Target="https://uacm.edu.mx/organizacion/tesoreria" TargetMode="External"/><Relationship Id="rId1041" Type="http://schemas.openxmlformats.org/officeDocument/2006/relationships/hyperlink" Target="https://uacm.edu.mx/organizacion/tesoreria" TargetMode="External"/><Relationship Id="rId1139" Type="http://schemas.openxmlformats.org/officeDocument/2006/relationships/hyperlink" Target="https://uacm.edu.mx/organizacion/tesoreria" TargetMode="External"/><Relationship Id="rId1346" Type="http://schemas.openxmlformats.org/officeDocument/2006/relationships/hyperlink" Target="https://uacm.edu.mx/organizacion/tesoreria" TargetMode="External"/><Relationship Id="rId716" Type="http://schemas.openxmlformats.org/officeDocument/2006/relationships/hyperlink" Target="https://uacm.edu.mx/organizacion/tesoreria" TargetMode="External"/><Relationship Id="rId923" Type="http://schemas.openxmlformats.org/officeDocument/2006/relationships/hyperlink" Target="https://uacm.edu.mx/organizacion/tesoreria" TargetMode="External"/><Relationship Id="rId52" Type="http://schemas.openxmlformats.org/officeDocument/2006/relationships/hyperlink" Target="https://uacm.edu.mx/organizacion/tesoreria" TargetMode="External"/><Relationship Id="rId1206" Type="http://schemas.openxmlformats.org/officeDocument/2006/relationships/hyperlink" Target="https://uacm.edu.mx/organizacion/tesoreria" TargetMode="External"/><Relationship Id="rId1413" Type="http://schemas.openxmlformats.org/officeDocument/2006/relationships/hyperlink" Target="https://uacm.edu.mx/organizacion/tesoreria" TargetMode="External"/><Relationship Id="rId299" Type="http://schemas.openxmlformats.org/officeDocument/2006/relationships/hyperlink" Target="https://uacm.edu.mx/organizacion/tesoreria" TargetMode="External"/><Relationship Id="rId159" Type="http://schemas.openxmlformats.org/officeDocument/2006/relationships/hyperlink" Target="https://uacm.edu.mx/organizacion/tesoreria" TargetMode="External"/><Relationship Id="rId366" Type="http://schemas.openxmlformats.org/officeDocument/2006/relationships/hyperlink" Target="https://uacm.edu.mx/organizacion/tesoreria" TargetMode="External"/><Relationship Id="rId573" Type="http://schemas.openxmlformats.org/officeDocument/2006/relationships/hyperlink" Target="https://uacm.edu.mx/organizacion/tesoreria" TargetMode="External"/><Relationship Id="rId780" Type="http://schemas.openxmlformats.org/officeDocument/2006/relationships/hyperlink" Target="https://uacm.edu.mx/organizacion/tesoreria" TargetMode="External"/><Relationship Id="rId226" Type="http://schemas.openxmlformats.org/officeDocument/2006/relationships/hyperlink" Target="https://uacm.edu.mx/organizacion/tesoreria" TargetMode="External"/><Relationship Id="rId433" Type="http://schemas.openxmlformats.org/officeDocument/2006/relationships/hyperlink" Target="https://uacm.edu.mx/organizacion/tesoreria" TargetMode="External"/><Relationship Id="rId878" Type="http://schemas.openxmlformats.org/officeDocument/2006/relationships/hyperlink" Target="https://uacm.edu.mx/organizacion/tesoreria" TargetMode="External"/><Relationship Id="rId1063" Type="http://schemas.openxmlformats.org/officeDocument/2006/relationships/hyperlink" Target="https://uacm.edu.mx/organizacion/tesoreria" TargetMode="External"/><Relationship Id="rId1270" Type="http://schemas.openxmlformats.org/officeDocument/2006/relationships/hyperlink" Target="https://uacm.edu.mx/organizacion/tesoreria" TargetMode="External"/><Relationship Id="rId640" Type="http://schemas.openxmlformats.org/officeDocument/2006/relationships/hyperlink" Target="https://uacm.edu.mx/organizacion/tesoreria" TargetMode="External"/><Relationship Id="rId738" Type="http://schemas.openxmlformats.org/officeDocument/2006/relationships/hyperlink" Target="https://uacm.edu.mx/organizacion/tesoreria" TargetMode="External"/><Relationship Id="rId945" Type="http://schemas.openxmlformats.org/officeDocument/2006/relationships/hyperlink" Target="https://uacm.edu.mx/organizacion/tesoreria" TargetMode="External"/><Relationship Id="rId1368" Type="http://schemas.openxmlformats.org/officeDocument/2006/relationships/hyperlink" Target="https://uacm.edu.mx/organizacion/tesorer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26"/>
  <sheetViews>
    <sheetView tabSelected="1" topLeftCell="D927" workbookViewId="0">
      <selection activeCell="L945" sqref="L931:N945"/>
    </sheetView>
  </sheetViews>
  <sheetFormatPr baseColWidth="10" defaultColWidth="11" defaultRowHeight="14.4" x14ac:dyDescent="0.3"/>
  <cols>
    <col min="2" max="2" width="14" customWidth="1"/>
    <col min="5" max="5" width="19.77734375" customWidth="1"/>
    <col min="6" max="6" width="17.77734375" customWidth="1"/>
    <col min="7" max="7" width="23.5546875" customWidth="1"/>
    <col min="8" max="8" width="17" customWidth="1"/>
    <col min="10" max="10" width="20.21875" customWidth="1"/>
    <col min="11" max="11" width="21.21875" customWidth="1"/>
    <col min="12" max="12" width="18.77734375" customWidth="1"/>
    <col min="14" max="14" width="21.44140625" customWidth="1"/>
  </cols>
  <sheetData>
    <row r="1" spans="1:22" hidden="1" x14ac:dyDescent="0.3">
      <c r="A1" t="s">
        <v>0</v>
      </c>
    </row>
    <row r="2" spans="1:22" x14ac:dyDescent="0.3">
      <c r="A2" s="43" t="s">
        <v>1</v>
      </c>
      <c r="B2" s="44"/>
      <c r="C2" s="44"/>
      <c r="D2" s="43" t="s">
        <v>2</v>
      </c>
      <c r="E2" s="44"/>
      <c r="F2" s="44"/>
      <c r="G2" s="43" t="s">
        <v>3</v>
      </c>
      <c r="H2" s="44"/>
      <c r="I2" s="44"/>
    </row>
    <row r="3" spans="1:22" x14ac:dyDescent="0.3">
      <c r="A3" s="45" t="s">
        <v>4</v>
      </c>
      <c r="B3" s="44"/>
      <c r="C3" s="44"/>
      <c r="D3" s="45" t="s">
        <v>5</v>
      </c>
      <c r="E3" s="44"/>
      <c r="F3" s="44"/>
      <c r="G3" s="45" t="s">
        <v>6</v>
      </c>
      <c r="H3" s="44"/>
      <c r="I3" s="44"/>
    </row>
    <row r="4" spans="1:22" hidden="1" x14ac:dyDescent="0.3">
      <c r="A4" t="s">
        <v>7</v>
      </c>
      <c r="B4" t="s">
        <v>7</v>
      </c>
      <c r="C4" t="s">
        <v>7</v>
      </c>
      <c r="D4" t="s">
        <v>8</v>
      </c>
      <c r="E4" t="s">
        <v>9</v>
      </c>
      <c r="F4" t="s">
        <v>9</v>
      </c>
      <c r="G4" t="s">
        <v>9</v>
      </c>
      <c r="H4" t="s">
        <v>7</v>
      </c>
      <c r="I4" t="s">
        <v>8</v>
      </c>
      <c r="J4" t="s">
        <v>9</v>
      </c>
      <c r="K4" t="s">
        <v>9</v>
      </c>
      <c r="L4" t="s">
        <v>9</v>
      </c>
      <c r="M4" t="s">
        <v>10</v>
      </c>
      <c r="N4" t="s">
        <v>8</v>
      </c>
      <c r="O4" t="s">
        <v>11</v>
      </c>
      <c r="P4" t="s">
        <v>11</v>
      </c>
      <c r="Q4" t="s">
        <v>11</v>
      </c>
      <c r="R4" t="s">
        <v>12</v>
      </c>
      <c r="S4" t="s">
        <v>8</v>
      </c>
      <c r="T4" t="s">
        <v>13</v>
      </c>
      <c r="U4" t="s">
        <v>14</v>
      </c>
      <c r="V4" t="s">
        <v>15</v>
      </c>
    </row>
    <row r="5" spans="1:22"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row>
    <row r="6" spans="1:22" x14ac:dyDescent="0.3">
      <c r="A6" s="43" t="s">
        <v>38</v>
      </c>
      <c r="B6" s="44"/>
      <c r="C6" s="44"/>
      <c r="D6" s="44"/>
      <c r="E6" s="44"/>
      <c r="F6" s="44"/>
      <c r="G6" s="44"/>
      <c r="H6" s="44"/>
      <c r="I6" s="44"/>
      <c r="J6" s="44"/>
      <c r="K6" s="44"/>
      <c r="L6" s="44"/>
      <c r="M6" s="44"/>
      <c r="N6" s="44"/>
      <c r="O6" s="44"/>
      <c r="P6" s="44"/>
      <c r="Q6" s="44"/>
      <c r="R6" s="44"/>
      <c r="S6" s="44"/>
      <c r="T6" s="44"/>
      <c r="U6" s="44"/>
      <c r="V6" s="44"/>
    </row>
    <row r="7" spans="1:22" ht="72.75" customHeight="1" x14ac:dyDescent="0.3">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row>
    <row r="8" spans="1:22" ht="19.5" customHeight="1" x14ac:dyDescent="0.3">
      <c r="A8" s="3">
        <v>2016</v>
      </c>
      <c r="B8" s="4">
        <v>42370</v>
      </c>
      <c r="C8" s="3">
        <v>1000</v>
      </c>
      <c r="D8" s="5" t="s">
        <v>72</v>
      </c>
      <c r="E8" s="6">
        <v>313287673.25</v>
      </c>
      <c r="F8" s="6">
        <v>313287673.25</v>
      </c>
      <c r="G8" s="6">
        <v>164351604.03999999</v>
      </c>
      <c r="H8" s="3">
        <v>1100</v>
      </c>
      <c r="I8" s="5" t="s">
        <v>72</v>
      </c>
      <c r="J8" s="6">
        <v>313287673.25</v>
      </c>
      <c r="K8" s="6">
        <v>313287673.25</v>
      </c>
      <c r="L8" s="6">
        <v>164351604.03999999</v>
      </c>
      <c r="M8" s="19">
        <v>1</v>
      </c>
      <c r="N8" s="7" t="s">
        <v>236</v>
      </c>
      <c r="O8" s="20" t="s">
        <v>245</v>
      </c>
      <c r="P8" s="20" t="s">
        <v>245</v>
      </c>
      <c r="Q8" s="20" t="s">
        <v>245</v>
      </c>
      <c r="R8" s="21">
        <v>42470</v>
      </c>
      <c r="S8" s="22" t="s">
        <v>246</v>
      </c>
      <c r="T8" s="22">
        <v>2016</v>
      </c>
      <c r="U8" s="21">
        <v>42460</v>
      </c>
      <c r="V8" s="22"/>
    </row>
    <row r="9" spans="1:22" ht="19.5" customHeight="1" x14ac:dyDescent="0.3">
      <c r="A9" s="3">
        <v>2016</v>
      </c>
      <c r="B9" s="4">
        <v>42370</v>
      </c>
      <c r="C9" s="3">
        <v>1000</v>
      </c>
      <c r="D9" s="7" t="s">
        <v>73</v>
      </c>
      <c r="E9" s="6">
        <v>11046346.859999999</v>
      </c>
      <c r="F9" s="6">
        <v>11046346.859999999</v>
      </c>
      <c r="G9" s="6">
        <v>4259985.25</v>
      </c>
      <c r="H9" s="3">
        <v>1200</v>
      </c>
      <c r="I9" s="7" t="s">
        <v>73</v>
      </c>
      <c r="J9" s="6">
        <v>11046346.859999999</v>
      </c>
      <c r="K9" s="6">
        <v>11046346.859999999</v>
      </c>
      <c r="L9" s="6">
        <v>4259985.25</v>
      </c>
      <c r="M9" s="23">
        <v>2</v>
      </c>
      <c r="N9" s="7" t="s">
        <v>236</v>
      </c>
      <c r="O9" s="20" t="s">
        <v>245</v>
      </c>
      <c r="P9" s="20" t="s">
        <v>245</v>
      </c>
      <c r="Q9" s="20" t="s">
        <v>245</v>
      </c>
      <c r="R9" s="21">
        <v>42470</v>
      </c>
      <c r="S9" s="22" t="s">
        <v>246</v>
      </c>
      <c r="T9" s="22">
        <v>2016</v>
      </c>
      <c r="U9" s="21">
        <v>42460</v>
      </c>
      <c r="V9" s="22"/>
    </row>
    <row r="10" spans="1:22" ht="19.5" customHeight="1" x14ac:dyDescent="0.3">
      <c r="A10" s="3">
        <v>2016</v>
      </c>
      <c r="B10" s="4">
        <v>42370</v>
      </c>
      <c r="C10" s="3">
        <v>1000</v>
      </c>
      <c r="D10" s="7" t="s">
        <v>74</v>
      </c>
      <c r="E10" s="6">
        <v>0</v>
      </c>
      <c r="F10" s="6">
        <v>0</v>
      </c>
      <c r="G10" s="6">
        <v>10770.96</v>
      </c>
      <c r="H10" s="3">
        <v>1300</v>
      </c>
      <c r="I10" s="7" t="s">
        <v>74</v>
      </c>
      <c r="J10" s="6">
        <v>0</v>
      </c>
      <c r="K10" s="6">
        <v>0</v>
      </c>
      <c r="L10" s="6">
        <v>10770.96</v>
      </c>
      <c r="M10" s="19">
        <v>3</v>
      </c>
      <c r="N10" s="7" t="s">
        <v>236</v>
      </c>
      <c r="O10" s="20" t="s">
        <v>245</v>
      </c>
      <c r="P10" s="20" t="s">
        <v>245</v>
      </c>
      <c r="Q10" s="20" t="s">
        <v>245</v>
      </c>
      <c r="R10" s="21">
        <v>42470</v>
      </c>
      <c r="S10" s="22" t="s">
        <v>246</v>
      </c>
      <c r="T10" s="22">
        <v>2016</v>
      </c>
      <c r="U10" s="21">
        <v>42460</v>
      </c>
      <c r="V10" s="22"/>
    </row>
    <row r="11" spans="1:22" ht="19.5" customHeight="1" x14ac:dyDescent="0.3">
      <c r="A11" s="3">
        <v>2016</v>
      </c>
      <c r="B11" s="4">
        <v>42370</v>
      </c>
      <c r="C11" s="3">
        <v>1000</v>
      </c>
      <c r="D11" s="8" t="s">
        <v>75</v>
      </c>
      <c r="E11" s="6">
        <v>29170916.25</v>
      </c>
      <c r="F11" s="6">
        <v>29170916.25</v>
      </c>
      <c r="G11" s="6">
        <v>14097907.710000001</v>
      </c>
      <c r="H11" s="3">
        <v>1300</v>
      </c>
      <c r="I11" s="8" t="s">
        <v>75</v>
      </c>
      <c r="J11" s="6">
        <v>29170916.25</v>
      </c>
      <c r="K11" s="6">
        <v>29170916.25</v>
      </c>
      <c r="L11" s="6">
        <v>14097907.710000001</v>
      </c>
      <c r="M11" s="23">
        <v>4</v>
      </c>
      <c r="N11" s="7" t="s">
        <v>236</v>
      </c>
      <c r="O11" s="20" t="s">
        <v>245</v>
      </c>
      <c r="P11" s="20" t="s">
        <v>245</v>
      </c>
      <c r="Q11" s="20" t="s">
        <v>245</v>
      </c>
      <c r="R11" s="21">
        <v>42470</v>
      </c>
      <c r="S11" s="22" t="s">
        <v>246</v>
      </c>
      <c r="T11" s="22">
        <v>2016</v>
      </c>
      <c r="U11" s="21">
        <v>42460</v>
      </c>
      <c r="V11" s="22"/>
    </row>
    <row r="12" spans="1:22" ht="19.5" customHeight="1" x14ac:dyDescent="0.3">
      <c r="A12" s="3">
        <v>2016</v>
      </c>
      <c r="B12" s="4">
        <v>42370</v>
      </c>
      <c r="C12" s="3">
        <v>1000</v>
      </c>
      <c r="D12" s="8" t="s">
        <v>76</v>
      </c>
      <c r="E12" s="6">
        <v>33344246.120000001</v>
      </c>
      <c r="F12" s="6">
        <v>33344246.120000001</v>
      </c>
      <c r="G12" s="6">
        <f>128462.72+2424.44</f>
        <v>130887.16</v>
      </c>
      <c r="H12" s="3">
        <v>1300</v>
      </c>
      <c r="I12" s="8" t="s">
        <v>76</v>
      </c>
      <c r="J12" s="6">
        <v>33344246.120000001</v>
      </c>
      <c r="K12" s="6">
        <v>33344246.120000001</v>
      </c>
      <c r="L12" s="6">
        <f>128462.72+2424.44</f>
        <v>130887.16</v>
      </c>
      <c r="M12" s="19">
        <v>5</v>
      </c>
      <c r="N12" s="7" t="s">
        <v>236</v>
      </c>
      <c r="O12" s="20" t="s">
        <v>245</v>
      </c>
      <c r="P12" s="20" t="s">
        <v>245</v>
      </c>
      <c r="Q12" s="20" t="s">
        <v>245</v>
      </c>
      <c r="R12" s="21">
        <v>42470</v>
      </c>
      <c r="S12" s="22" t="s">
        <v>246</v>
      </c>
      <c r="T12" s="22">
        <v>2016</v>
      </c>
      <c r="U12" s="21">
        <v>42460</v>
      </c>
      <c r="V12" s="22"/>
    </row>
    <row r="13" spans="1:22" ht="19.5" customHeight="1" x14ac:dyDescent="0.3">
      <c r="A13" s="3">
        <v>2016</v>
      </c>
      <c r="B13" s="4">
        <v>42370</v>
      </c>
      <c r="C13" s="3">
        <v>1000</v>
      </c>
      <c r="D13" s="8" t="s">
        <v>77</v>
      </c>
      <c r="E13" s="6">
        <v>630000</v>
      </c>
      <c r="F13" s="6">
        <v>630000</v>
      </c>
      <c r="G13" s="6">
        <v>545623.67000000004</v>
      </c>
      <c r="H13" s="3">
        <v>1300</v>
      </c>
      <c r="I13" s="8" t="s">
        <v>77</v>
      </c>
      <c r="J13" s="6">
        <v>630000</v>
      </c>
      <c r="K13" s="6">
        <v>630000</v>
      </c>
      <c r="L13" s="6">
        <v>545623.67000000004</v>
      </c>
      <c r="M13" s="23">
        <v>6</v>
      </c>
      <c r="N13" s="7" t="s">
        <v>236</v>
      </c>
      <c r="O13" s="20" t="s">
        <v>245</v>
      </c>
      <c r="P13" s="20" t="s">
        <v>245</v>
      </c>
      <c r="Q13" s="20" t="s">
        <v>245</v>
      </c>
      <c r="R13" s="21">
        <v>42470</v>
      </c>
      <c r="S13" s="22" t="s">
        <v>246</v>
      </c>
      <c r="T13" s="22">
        <v>2016</v>
      </c>
      <c r="U13" s="21">
        <v>42460</v>
      </c>
      <c r="V13" s="22"/>
    </row>
    <row r="14" spans="1:22" ht="19.5" customHeight="1" x14ac:dyDescent="0.3">
      <c r="A14" s="3">
        <v>2016</v>
      </c>
      <c r="B14" s="4">
        <v>42370</v>
      </c>
      <c r="C14" s="3">
        <v>1000</v>
      </c>
      <c r="D14" s="8" t="s">
        <v>78</v>
      </c>
      <c r="E14" s="6">
        <v>210000</v>
      </c>
      <c r="F14" s="6">
        <v>210000</v>
      </c>
      <c r="G14" s="6">
        <v>46776</v>
      </c>
      <c r="H14" s="3">
        <v>1300</v>
      </c>
      <c r="I14" s="8" t="s">
        <v>78</v>
      </c>
      <c r="J14" s="6">
        <v>210000</v>
      </c>
      <c r="K14" s="6">
        <v>210000</v>
      </c>
      <c r="L14" s="6">
        <v>46776</v>
      </c>
      <c r="M14" s="19">
        <v>7</v>
      </c>
      <c r="N14" s="7" t="s">
        <v>236</v>
      </c>
      <c r="O14" s="20" t="s">
        <v>245</v>
      </c>
      <c r="P14" s="20" t="s">
        <v>245</v>
      </c>
      <c r="Q14" s="20" t="s">
        <v>245</v>
      </c>
      <c r="R14" s="21">
        <v>42470</v>
      </c>
      <c r="S14" s="22" t="s">
        <v>246</v>
      </c>
      <c r="T14" s="22">
        <v>2016</v>
      </c>
      <c r="U14" s="21">
        <v>42460</v>
      </c>
      <c r="V14" s="22"/>
    </row>
    <row r="15" spans="1:22" ht="19.5" customHeight="1" x14ac:dyDescent="0.3">
      <c r="A15" s="3">
        <v>2016</v>
      </c>
      <c r="B15" s="4">
        <v>42370</v>
      </c>
      <c r="C15" s="3">
        <v>1000</v>
      </c>
      <c r="D15" s="9" t="s">
        <v>79</v>
      </c>
      <c r="E15" s="6">
        <v>29919791.989999998</v>
      </c>
      <c r="F15" s="6">
        <v>29919791.989999998</v>
      </c>
      <c r="G15" s="6">
        <v>4861355.87</v>
      </c>
      <c r="H15" s="3">
        <v>1400</v>
      </c>
      <c r="I15" s="9" t="s">
        <v>79</v>
      </c>
      <c r="J15" s="6">
        <v>29919791.989999998</v>
      </c>
      <c r="K15" s="6">
        <v>29919791.989999998</v>
      </c>
      <c r="L15" s="6">
        <v>4861355.87</v>
      </c>
      <c r="M15" s="23">
        <v>8</v>
      </c>
      <c r="N15" s="7" t="s">
        <v>236</v>
      </c>
      <c r="O15" s="20" t="s">
        <v>245</v>
      </c>
      <c r="P15" s="20" t="s">
        <v>245</v>
      </c>
      <c r="Q15" s="20" t="s">
        <v>245</v>
      </c>
      <c r="R15" s="21">
        <v>42470</v>
      </c>
      <c r="S15" s="22" t="s">
        <v>246</v>
      </c>
      <c r="T15" s="22">
        <v>2016</v>
      </c>
      <c r="U15" s="21">
        <v>42460</v>
      </c>
      <c r="V15" s="22"/>
    </row>
    <row r="16" spans="1:22" ht="19.5" customHeight="1" x14ac:dyDescent="0.3">
      <c r="A16" s="3">
        <v>2016</v>
      </c>
      <c r="B16" s="4">
        <v>42370</v>
      </c>
      <c r="C16" s="3">
        <v>1000</v>
      </c>
      <c r="D16" s="9" t="s">
        <v>80</v>
      </c>
      <c r="E16" s="6">
        <v>15004910.73</v>
      </c>
      <c r="F16" s="6">
        <v>15004910.73</v>
      </c>
      <c r="G16" s="6">
        <v>4022547.96</v>
      </c>
      <c r="H16" s="3">
        <v>1400</v>
      </c>
      <c r="I16" s="9" t="s">
        <v>80</v>
      </c>
      <c r="J16" s="6">
        <v>15004910.73</v>
      </c>
      <c r="K16" s="6">
        <v>15004910.73</v>
      </c>
      <c r="L16" s="6">
        <v>4022547.96</v>
      </c>
      <c r="M16" s="19">
        <v>9</v>
      </c>
      <c r="N16" s="7" t="s">
        <v>236</v>
      </c>
      <c r="O16" s="20" t="s">
        <v>245</v>
      </c>
      <c r="P16" s="20" t="s">
        <v>245</v>
      </c>
      <c r="Q16" s="20" t="s">
        <v>245</v>
      </c>
      <c r="R16" s="21">
        <v>42470</v>
      </c>
      <c r="S16" s="22" t="s">
        <v>246</v>
      </c>
      <c r="T16" s="22">
        <v>2016</v>
      </c>
      <c r="U16" s="21">
        <v>42460</v>
      </c>
      <c r="V16" s="22"/>
    </row>
    <row r="17" spans="1:22" ht="19.5" customHeight="1" x14ac:dyDescent="0.3">
      <c r="A17" s="3">
        <v>2016</v>
      </c>
      <c r="B17" s="4">
        <v>42370</v>
      </c>
      <c r="C17" s="3">
        <v>1000</v>
      </c>
      <c r="D17" s="9" t="s">
        <v>81</v>
      </c>
      <c r="E17" s="6">
        <v>16212582.550000001</v>
      </c>
      <c r="F17" s="6">
        <v>15402582.550000001</v>
      </c>
      <c r="G17" s="6">
        <v>4591445.8600000003</v>
      </c>
      <c r="H17" s="3">
        <v>1400</v>
      </c>
      <c r="I17" s="9" t="s">
        <v>81</v>
      </c>
      <c r="J17" s="6">
        <v>16212582.550000001</v>
      </c>
      <c r="K17" s="6">
        <v>15402582.550000001</v>
      </c>
      <c r="L17" s="6">
        <v>4591445.8600000003</v>
      </c>
      <c r="M17" s="23">
        <v>10</v>
      </c>
      <c r="N17" s="7" t="s">
        <v>236</v>
      </c>
      <c r="O17" s="20" t="s">
        <v>245</v>
      </c>
      <c r="P17" s="20" t="s">
        <v>245</v>
      </c>
      <c r="Q17" s="20" t="s">
        <v>245</v>
      </c>
      <c r="R17" s="21">
        <v>42470</v>
      </c>
      <c r="S17" s="22" t="s">
        <v>246</v>
      </c>
      <c r="T17" s="22">
        <v>2016</v>
      </c>
      <c r="U17" s="21">
        <v>42460</v>
      </c>
      <c r="V17" s="22"/>
    </row>
    <row r="18" spans="1:22" ht="19.5" customHeight="1" x14ac:dyDescent="0.3">
      <c r="A18" s="3">
        <v>2016</v>
      </c>
      <c r="B18" s="4">
        <v>42370</v>
      </c>
      <c r="C18" s="3">
        <v>1000</v>
      </c>
      <c r="D18" s="9" t="s">
        <v>82</v>
      </c>
      <c r="E18" s="6">
        <v>14794007.189999999</v>
      </c>
      <c r="F18" s="6">
        <v>14794007.189999999</v>
      </c>
      <c r="G18" s="6">
        <v>3115386.94</v>
      </c>
      <c r="H18" s="3">
        <v>1400</v>
      </c>
      <c r="I18" s="9" t="s">
        <v>82</v>
      </c>
      <c r="J18" s="6">
        <v>14794007.189999999</v>
      </c>
      <c r="K18" s="6">
        <v>14794007.189999999</v>
      </c>
      <c r="L18" s="6">
        <v>3115386.94</v>
      </c>
      <c r="M18" s="19">
        <v>11</v>
      </c>
      <c r="N18" s="7" t="s">
        <v>236</v>
      </c>
      <c r="O18" s="20" t="s">
        <v>245</v>
      </c>
      <c r="P18" s="20" t="s">
        <v>245</v>
      </c>
      <c r="Q18" s="20" t="s">
        <v>245</v>
      </c>
      <c r="R18" s="21">
        <v>42470</v>
      </c>
      <c r="S18" s="22" t="s">
        <v>246</v>
      </c>
      <c r="T18" s="22">
        <v>2016</v>
      </c>
      <c r="U18" s="21">
        <v>42460</v>
      </c>
      <c r="V18" s="22"/>
    </row>
    <row r="19" spans="1:22" ht="19.5" customHeight="1" x14ac:dyDescent="0.3">
      <c r="A19" s="3">
        <v>2016</v>
      </c>
      <c r="B19" s="4">
        <v>42370</v>
      </c>
      <c r="C19" s="3">
        <v>1000</v>
      </c>
      <c r="D19" s="9" t="s">
        <v>83</v>
      </c>
      <c r="E19" s="6">
        <v>1036899.45</v>
      </c>
      <c r="F19" s="6">
        <v>1036899.45</v>
      </c>
      <c r="G19" s="6">
        <v>0</v>
      </c>
      <c r="H19" s="3">
        <v>1400</v>
      </c>
      <c r="I19" s="9" t="s">
        <v>83</v>
      </c>
      <c r="J19" s="6">
        <v>1036899.45</v>
      </c>
      <c r="K19" s="6">
        <v>1036899.45</v>
      </c>
      <c r="L19" s="6">
        <v>0</v>
      </c>
      <c r="M19" s="23">
        <v>12</v>
      </c>
      <c r="N19" s="7" t="s">
        <v>236</v>
      </c>
      <c r="O19" s="20" t="s">
        <v>245</v>
      </c>
      <c r="P19" s="20" t="s">
        <v>245</v>
      </c>
      <c r="Q19" s="20" t="s">
        <v>245</v>
      </c>
      <c r="R19" s="21">
        <v>42470</v>
      </c>
      <c r="S19" s="22" t="s">
        <v>246</v>
      </c>
      <c r="T19" s="22">
        <v>2016</v>
      </c>
      <c r="U19" s="21">
        <v>42460</v>
      </c>
      <c r="V19" s="22"/>
    </row>
    <row r="20" spans="1:22" ht="19.5" customHeight="1" x14ac:dyDescent="0.3">
      <c r="A20" s="3">
        <v>2016</v>
      </c>
      <c r="B20" s="4">
        <v>42370</v>
      </c>
      <c r="C20" s="3">
        <v>1000</v>
      </c>
      <c r="D20" s="9" t="s">
        <v>84</v>
      </c>
      <c r="E20" s="6">
        <v>0</v>
      </c>
      <c r="F20" s="6">
        <v>0</v>
      </c>
      <c r="G20" s="6">
        <v>544666.36</v>
      </c>
      <c r="H20" s="3">
        <v>1500</v>
      </c>
      <c r="I20" s="9" t="s">
        <v>84</v>
      </c>
      <c r="J20" s="6">
        <v>0</v>
      </c>
      <c r="K20" s="6">
        <v>0</v>
      </c>
      <c r="L20" s="6">
        <v>544666.36</v>
      </c>
      <c r="M20" s="19">
        <v>13</v>
      </c>
      <c r="N20" s="7" t="s">
        <v>236</v>
      </c>
      <c r="O20" s="20" t="s">
        <v>245</v>
      </c>
      <c r="P20" s="20" t="s">
        <v>245</v>
      </c>
      <c r="Q20" s="20" t="s">
        <v>245</v>
      </c>
      <c r="R20" s="21">
        <v>42470</v>
      </c>
      <c r="S20" s="22" t="s">
        <v>246</v>
      </c>
      <c r="T20" s="22">
        <v>2016</v>
      </c>
      <c r="U20" s="21">
        <v>42460</v>
      </c>
      <c r="V20" s="22"/>
    </row>
    <row r="21" spans="1:22" ht="19.5" customHeight="1" x14ac:dyDescent="0.3">
      <c r="A21" s="3">
        <v>2016</v>
      </c>
      <c r="B21" s="4">
        <v>42370</v>
      </c>
      <c r="C21" s="3">
        <v>1000</v>
      </c>
      <c r="D21" s="9" t="s">
        <v>85</v>
      </c>
      <c r="E21" s="6">
        <v>6007116.7999999998</v>
      </c>
      <c r="F21" s="6">
        <f>6007116.8+3719990.33</f>
        <v>9727107.129999999</v>
      </c>
      <c r="G21" s="6">
        <f>841650.32+3719990.33</f>
        <v>4561640.6500000004</v>
      </c>
      <c r="H21" s="3">
        <v>1500</v>
      </c>
      <c r="I21" s="9" t="s">
        <v>85</v>
      </c>
      <c r="J21" s="6">
        <v>6007116.7999999998</v>
      </c>
      <c r="K21" s="6">
        <f>6007116.8+3719990.33</f>
        <v>9727107.129999999</v>
      </c>
      <c r="L21" s="6">
        <f>841650.32+3719990.33</f>
        <v>4561640.6500000004</v>
      </c>
      <c r="M21" s="23">
        <v>14</v>
      </c>
      <c r="N21" s="7" t="s">
        <v>236</v>
      </c>
      <c r="O21" s="20" t="s">
        <v>245</v>
      </c>
      <c r="P21" s="20" t="s">
        <v>245</v>
      </c>
      <c r="Q21" s="20" t="s">
        <v>245</v>
      </c>
      <c r="R21" s="21">
        <v>42470</v>
      </c>
      <c r="S21" s="22" t="s">
        <v>246</v>
      </c>
      <c r="T21" s="22">
        <v>2016</v>
      </c>
      <c r="U21" s="21">
        <v>42460</v>
      </c>
      <c r="V21" s="22"/>
    </row>
    <row r="22" spans="1:22" ht="19.5" customHeight="1" x14ac:dyDescent="0.3">
      <c r="A22" s="3">
        <v>2016</v>
      </c>
      <c r="B22" s="4">
        <v>42370</v>
      </c>
      <c r="C22" s="3">
        <v>1000</v>
      </c>
      <c r="D22" s="9" t="s">
        <v>86</v>
      </c>
      <c r="E22" s="6">
        <v>150000</v>
      </c>
      <c r="F22" s="6">
        <v>150000</v>
      </c>
      <c r="G22" s="6">
        <v>38647.800000000003</v>
      </c>
      <c r="H22" s="3">
        <v>1500</v>
      </c>
      <c r="I22" s="9" t="s">
        <v>86</v>
      </c>
      <c r="J22" s="6">
        <v>150000</v>
      </c>
      <c r="K22" s="6">
        <v>150000</v>
      </c>
      <c r="L22" s="6">
        <v>38647.800000000003</v>
      </c>
      <c r="M22" s="19">
        <v>15</v>
      </c>
      <c r="N22" s="7" t="s">
        <v>236</v>
      </c>
      <c r="O22" s="20" t="s">
        <v>245</v>
      </c>
      <c r="P22" s="20" t="s">
        <v>245</v>
      </c>
      <c r="Q22" s="20" t="s">
        <v>245</v>
      </c>
      <c r="R22" s="21">
        <v>42470</v>
      </c>
      <c r="S22" s="22" t="s">
        <v>246</v>
      </c>
      <c r="T22" s="22">
        <v>2016</v>
      </c>
      <c r="U22" s="21">
        <v>42460</v>
      </c>
      <c r="V22" s="22"/>
    </row>
    <row r="23" spans="1:22" ht="19.5" customHeight="1" x14ac:dyDescent="0.3">
      <c r="A23" s="3">
        <v>2016</v>
      </c>
      <c r="B23" s="4">
        <v>42370</v>
      </c>
      <c r="C23" s="3">
        <v>1000</v>
      </c>
      <c r="D23" s="9" t="s">
        <v>87</v>
      </c>
      <c r="E23" s="6">
        <v>615000</v>
      </c>
      <c r="F23" s="6">
        <v>615000</v>
      </c>
      <c r="G23" s="6">
        <v>269345.59999999998</v>
      </c>
      <c r="H23" s="3">
        <v>1500</v>
      </c>
      <c r="I23" s="9" t="s">
        <v>87</v>
      </c>
      <c r="J23" s="6">
        <v>615000</v>
      </c>
      <c r="K23" s="6">
        <v>615000</v>
      </c>
      <c r="L23" s="6">
        <v>269345.59999999998</v>
      </c>
      <c r="M23" s="23">
        <v>16</v>
      </c>
      <c r="N23" s="7" t="s">
        <v>236</v>
      </c>
      <c r="O23" s="20" t="s">
        <v>245</v>
      </c>
      <c r="P23" s="20" t="s">
        <v>245</v>
      </c>
      <c r="Q23" s="20" t="s">
        <v>245</v>
      </c>
      <c r="R23" s="21">
        <v>42470</v>
      </c>
      <c r="S23" s="22" t="s">
        <v>246</v>
      </c>
      <c r="T23" s="22">
        <v>2016</v>
      </c>
      <c r="U23" s="21">
        <v>42460</v>
      </c>
      <c r="V23" s="22"/>
    </row>
    <row r="24" spans="1:22" ht="19.5" customHeight="1" x14ac:dyDescent="0.3">
      <c r="A24" s="3">
        <v>2016</v>
      </c>
      <c r="B24" s="4">
        <v>42370</v>
      </c>
      <c r="C24" s="3">
        <v>1000</v>
      </c>
      <c r="D24" s="9" t="s">
        <v>88</v>
      </c>
      <c r="E24" s="6">
        <v>120017944.8</v>
      </c>
      <c r="F24" s="6">
        <v>119352767.8</v>
      </c>
      <c r="G24" s="6">
        <v>34708952.609999999</v>
      </c>
      <c r="H24" s="3">
        <v>1500</v>
      </c>
      <c r="I24" s="9" t="s">
        <v>88</v>
      </c>
      <c r="J24" s="6">
        <v>120017944.8</v>
      </c>
      <c r="K24" s="6">
        <v>119352767.8</v>
      </c>
      <c r="L24" s="6">
        <v>34708952.609999999</v>
      </c>
      <c r="M24" s="19">
        <v>17</v>
      </c>
      <c r="N24" s="7" t="s">
        <v>236</v>
      </c>
      <c r="O24" s="20" t="s">
        <v>245</v>
      </c>
      <c r="P24" s="20" t="s">
        <v>245</v>
      </c>
      <c r="Q24" s="20" t="s">
        <v>245</v>
      </c>
      <c r="R24" s="21">
        <v>42470</v>
      </c>
      <c r="S24" s="22" t="s">
        <v>246</v>
      </c>
      <c r="T24" s="22">
        <v>2016</v>
      </c>
      <c r="U24" s="21">
        <v>42460</v>
      </c>
      <c r="V24" s="22"/>
    </row>
    <row r="25" spans="1:22" ht="19.5" customHeight="1" x14ac:dyDescent="0.3">
      <c r="A25" s="3">
        <v>2016</v>
      </c>
      <c r="B25" s="4">
        <v>42370</v>
      </c>
      <c r="C25" s="3">
        <v>1000</v>
      </c>
      <c r="D25" s="9" t="s">
        <v>89</v>
      </c>
      <c r="E25" s="6">
        <v>841200</v>
      </c>
      <c r="F25" s="6">
        <v>841200</v>
      </c>
      <c r="G25" s="6">
        <v>365200</v>
      </c>
      <c r="H25" s="3">
        <v>1500</v>
      </c>
      <c r="I25" s="9" t="s">
        <v>89</v>
      </c>
      <c r="J25" s="6">
        <v>841200</v>
      </c>
      <c r="K25" s="6">
        <v>841200</v>
      </c>
      <c r="L25" s="6">
        <v>365200</v>
      </c>
      <c r="M25" s="23">
        <v>18</v>
      </c>
      <c r="N25" s="7" t="s">
        <v>236</v>
      </c>
      <c r="O25" s="20" t="s">
        <v>245</v>
      </c>
      <c r="P25" s="20" t="s">
        <v>245</v>
      </c>
      <c r="Q25" s="20" t="s">
        <v>245</v>
      </c>
      <c r="R25" s="21">
        <v>42470</v>
      </c>
      <c r="S25" s="22" t="s">
        <v>246</v>
      </c>
      <c r="T25" s="22">
        <v>2016</v>
      </c>
      <c r="U25" s="21">
        <v>42460</v>
      </c>
      <c r="V25" s="22"/>
    </row>
    <row r="26" spans="1:22" ht="19.5" customHeight="1" x14ac:dyDescent="0.3">
      <c r="A26" s="3">
        <v>2016</v>
      </c>
      <c r="B26" s="4">
        <v>42370</v>
      </c>
      <c r="C26" s="3">
        <v>1000</v>
      </c>
      <c r="D26" s="7" t="s">
        <v>90</v>
      </c>
      <c r="E26" s="6">
        <v>359652</v>
      </c>
      <c r="F26" s="6">
        <v>359652</v>
      </c>
      <c r="G26" s="6">
        <v>0</v>
      </c>
      <c r="H26" s="3">
        <v>1500</v>
      </c>
      <c r="I26" s="7" t="s">
        <v>90</v>
      </c>
      <c r="J26" s="6">
        <v>359652</v>
      </c>
      <c r="K26" s="6">
        <v>359652</v>
      </c>
      <c r="L26" s="6">
        <v>0</v>
      </c>
      <c r="M26" s="19">
        <v>19</v>
      </c>
      <c r="N26" s="7" t="s">
        <v>236</v>
      </c>
      <c r="O26" s="20" t="s">
        <v>245</v>
      </c>
      <c r="P26" s="20" t="s">
        <v>245</v>
      </c>
      <c r="Q26" s="20" t="s">
        <v>245</v>
      </c>
      <c r="R26" s="21">
        <v>42470</v>
      </c>
      <c r="S26" s="22" t="s">
        <v>246</v>
      </c>
      <c r="T26" s="22">
        <v>2016</v>
      </c>
      <c r="U26" s="21">
        <v>42460</v>
      </c>
      <c r="V26" s="22"/>
    </row>
    <row r="27" spans="1:22" ht="19.5" customHeight="1" x14ac:dyDescent="0.3">
      <c r="A27" s="3">
        <v>2016</v>
      </c>
      <c r="B27" s="4">
        <v>42370</v>
      </c>
      <c r="C27" s="3">
        <v>1000</v>
      </c>
      <c r="D27" s="7" t="s">
        <v>91</v>
      </c>
      <c r="E27" s="6">
        <f>273868426.69+150000000</f>
        <v>423868426.69</v>
      </c>
      <c r="F27" s="6">
        <f>273868426.69+150000000</f>
        <v>423868426.69</v>
      </c>
      <c r="G27" s="6">
        <v>196150790.83000001</v>
      </c>
      <c r="H27" s="3">
        <v>1500</v>
      </c>
      <c r="I27" s="7" t="s">
        <v>91</v>
      </c>
      <c r="J27" s="6">
        <f>273868426.69+150000000</f>
        <v>423868426.69</v>
      </c>
      <c r="K27" s="6">
        <f>273868426.69+150000000</f>
        <v>423868426.69</v>
      </c>
      <c r="L27" s="6">
        <v>196150790.83000001</v>
      </c>
      <c r="M27" s="23">
        <v>20</v>
      </c>
      <c r="N27" s="7" t="s">
        <v>236</v>
      </c>
      <c r="O27" s="20" t="s">
        <v>245</v>
      </c>
      <c r="P27" s="20" t="s">
        <v>245</v>
      </c>
      <c r="Q27" s="20" t="s">
        <v>245</v>
      </c>
      <c r="R27" s="21">
        <v>42470</v>
      </c>
      <c r="S27" s="22" t="s">
        <v>246</v>
      </c>
      <c r="T27" s="22">
        <v>2016</v>
      </c>
      <c r="U27" s="21">
        <v>42460</v>
      </c>
      <c r="V27" s="22"/>
    </row>
    <row r="28" spans="1:22" ht="19.5" customHeight="1" x14ac:dyDescent="0.3">
      <c r="A28" s="3">
        <v>2016</v>
      </c>
      <c r="B28" s="4">
        <v>42370</v>
      </c>
      <c r="C28" s="3">
        <v>1000</v>
      </c>
      <c r="D28" s="7" t="s">
        <v>92</v>
      </c>
      <c r="E28" s="6">
        <v>0</v>
      </c>
      <c r="F28" s="6">
        <v>0</v>
      </c>
      <c r="G28" s="6">
        <f>19526.83+7560.89</f>
        <v>27087.72</v>
      </c>
      <c r="H28" s="3">
        <v>1500</v>
      </c>
      <c r="I28" s="7" t="s">
        <v>92</v>
      </c>
      <c r="J28" s="6">
        <v>0</v>
      </c>
      <c r="K28" s="6">
        <v>0</v>
      </c>
      <c r="L28" s="6">
        <f>19526.83+7560.89</f>
        <v>27087.72</v>
      </c>
      <c r="M28" s="19">
        <v>21</v>
      </c>
      <c r="N28" s="7" t="s">
        <v>236</v>
      </c>
      <c r="O28" s="20" t="s">
        <v>245</v>
      </c>
      <c r="P28" s="20" t="s">
        <v>245</v>
      </c>
      <c r="Q28" s="20" t="s">
        <v>245</v>
      </c>
      <c r="R28" s="21">
        <v>42470</v>
      </c>
      <c r="S28" s="22" t="s">
        <v>246</v>
      </c>
      <c r="T28" s="22">
        <v>2016</v>
      </c>
      <c r="U28" s="21">
        <v>42460</v>
      </c>
      <c r="V28" s="22"/>
    </row>
    <row r="29" spans="1:22" ht="19.5" customHeight="1" x14ac:dyDescent="0.3">
      <c r="A29" s="3">
        <v>2016</v>
      </c>
      <c r="B29" s="4">
        <v>42370</v>
      </c>
      <c r="C29" s="3">
        <v>2000</v>
      </c>
      <c r="D29" s="9" t="s">
        <v>93</v>
      </c>
      <c r="E29" s="6">
        <v>2635826.1</v>
      </c>
      <c r="F29" s="6">
        <v>2528604.44</v>
      </c>
      <c r="G29" s="6">
        <v>45899.92</v>
      </c>
      <c r="H29" s="3">
        <v>2100</v>
      </c>
      <c r="I29" s="9" t="s">
        <v>93</v>
      </c>
      <c r="J29" s="6">
        <v>2635826.1</v>
      </c>
      <c r="K29" s="6">
        <v>2528604.44</v>
      </c>
      <c r="L29" s="6">
        <v>45899.92</v>
      </c>
      <c r="M29" s="23">
        <v>22</v>
      </c>
      <c r="N29" s="7" t="s">
        <v>237</v>
      </c>
      <c r="O29" s="20" t="s">
        <v>245</v>
      </c>
      <c r="P29" s="20" t="s">
        <v>245</v>
      </c>
      <c r="Q29" s="20" t="s">
        <v>245</v>
      </c>
      <c r="R29" s="21">
        <v>42470</v>
      </c>
      <c r="S29" s="22" t="s">
        <v>246</v>
      </c>
      <c r="T29" s="22">
        <v>2016</v>
      </c>
      <c r="U29" s="21">
        <v>42460</v>
      </c>
      <c r="V29" s="22"/>
    </row>
    <row r="30" spans="1:22" ht="19.5" customHeight="1" x14ac:dyDescent="0.3">
      <c r="A30" s="3">
        <v>2016</v>
      </c>
      <c r="B30" s="4">
        <v>42370</v>
      </c>
      <c r="C30" s="3">
        <v>2000</v>
      </c>
      <c r="D30" s="9" t="s">
        <v>94</v>
      </c>
      <c r="E30" s="6">
        <v>2756274</v>
      </c>
      <c r="F30" s="6">
        <v>2782100.2</v>
      </c>
      <c r="G30" s="6">
        <v>26626.13</v>
      </c>
      <c r="H30" s="3">
        <v>2100</v>
      </c>
      <c r="I30" s="9" t="s">
        <v>94</v>
      </c>
      <c r="J30" s="6">
        <v>2756274</v>
      </c>
      <c r="K30" s="6">
        <v>2782100.2</v>
      </c>
      <c r="L30" s="6">
        <v>26626.13</v>
      </c>
      <c r="M30" s="19">
        <v>23</v>
      </c>
      <c r="N30" s="7" t="s">
        <v>237</v>
      </c>
      <c r="O30" s="20" t="s">
        <v>245</v>
      </c>
      <c r="P30" s="20" t="s">
        <v>245</v>
      </c>
      <c r="Q30" s="20" t="s">
        <v>245</v>
      </c>
      <c r="R30" s="21">
        <v>42470</v>
      </c>
      <c r="S30" s="22" t="s">
        <v>246</v>
      </c>
      <c r="T30" s="22">
        <v>2016</v>
      </c>
      <c r="U30" s="21">
        <v>42460</v>
      </c>
      <c r="V30" s="22"/>
    </row>
    <row r="31" spans="1:22" ht="19.5" customHeight="1" x14ac:dyDescent="0.3">
      <c r="A31" s="3">
        <v>2016</v>
      </c>
      <c r="B31" s="4">
        <v>42370</v>
      </c>
      <c r="C31" s="3">
        <v>2000</v>
      </c>
      <c r="D31" s="9" t="s">
        <v>95</v>
      </c>
      <c r="E31" s="6">
        <v>4704498.9400000004</v>
      </c>
      <c r="F31" s="6">
        <v>8933209.1099999994</v>
      </c>
      <c r="G31" s="6">
        <v>94641.43</v>
      </c>
      <c r="H31" s="3">
        <v>2100</v>
      </c>
      <c r="I31" s="9" t="s">
        <v>95</v>
      </c>
      <c r="J31" s="6">
        <v>4704498.9400000004</v>
      </c>
      <c r="K31" s="6">
        <v>8933209.1099999994</v>
      </c>
      <c r="L31" s="6">
        <v>94641.43</v>
      </c>
      <c r="M31" s="23">
        <v>24</v>
      </c>
      <c r="N31" s="7" t="s">
        <v>237</v>
      </c>
      <c r="O31" s="20" t="s">
        <v>245</v>
      </c>
      <c r="P31" s="20" t="s">
        <v>245</v>
      </c>
      <c r="Q31" s="20" t="s">
        <v>245</v>
      </c>
      <c r="R31" s="21">
        <v>42470</v>
      </c>
      <c r="S31" s="22" t="s">
        <v>246</v>
      </c>
      <c r="T31" s="22">
        <v>2016</v>
      </c>
      <c r="U31" s="21">
        <v>42460</v>
      </c>
      <c r="V31" s="22"/>
    </row>
    <row r="32" spans="1:22" ht="19.5" customHeight="1" x14ac:dyDescent="0.3">
      <c r="A32" s="3">
        <v>2016</v>
      </c>
      <c r="B32" s="4">
        <v>42370</v>
      </c>
      <c r="C32" s="3">
        <v>2000</v>
      </c>
      <c r="D32" s="9" t="s">
        <v>96</v>
      </c>
      <c r="E32" s="6">
        <v>1379230</v>
      </c>
      <c r="F32" s="6">
        <v>1698835.2</v>
      </c>
      <c r="G32" s="6">
        <v>287387.65000000002</v>
      </c>
      <c r="H32" s="3">
        <v>2100</v>
      </c>
      <c r="I32" s="9" t="s">
        <v>96</v>
      </c>
      <c r="J32" s="6">
        <v>1379230</v>
      </c>
      <c r="K32" s="6">
        <v>1698835.2</v>
      </c>
      <c r="L32" s="6">
        <v>287387.65000000002</v>
      </c>
      <c r="M32" s="19">
        <v>25</v>
      </c>
      <c r="N32" s="7" t="s">
        <v>237</v>
      </c>
      <c r="O32" s="20" t="s">
        <v>245</v>
      </c>
      <c r="P32" s="20" t="s">
        <v>245</v>
      </c>
      <c r="Q32" s="20" t="s">
        <v>245</v>
      </c>
      <c r="R32" s="21">
        <v>42470</v>
      </c>
      <c r="S32" s="22" t="s">
        <v>246</v>
      </c>
      <c r="T32" s="22">
        <v>2016</v>
      </c>
      <c r="U32" s="21">
        <v>42460</v>
      </c>
      <c r="V32" s="22"/>
    </row>
    <row r="33" spans="1:22" ht="19.5" customHeight="1" x14ac:dyDescent="0.3">
      <c r="A33" s="3">
        <v>2016</v>
      </c>
      <c r="B33" s="4">
        <v>42370</v>
      </c>
      <c r="C33" s="3">
        <v>2000</v>
      </c>
      <c r="D33" s="9" t="s">
        <v>97</v>
      </c>
      <c r="E33" s="6">
        <v>1803200</v>
      </c>
      <c r="F33" s="6">
        <v>1737095.68</v>
      </c>
      <c r="G33" s="6">
        <v>1342389.82</v>
      </c>
      <c r="H33" s="3">
        <v>2100</v>
      </c>
      <c r="I33" s="9" t="s">
        <v>97</v>
      </c>
      <c r="J33" s="6">
        <v>1803200</v>
      </c>
      <c r="K33" s="6">
        <v>1737095.68</v>
      </c>
      <c r="L33" s="6">
        <v>1342389.82</v>
      </c>
      <c r="M33" s="23">
        <v>26</v>
      </c>
      <c r="N33" s="7" t="s">
        <v>237</v>
      </c>
      <c r="O33" s="20" t="s">
        <v>245</v>
      </c>
      <c r="P33" s="20" t="s">
        <v>245</v>
      </c>
      <c r="Q33" s="20" t="s">
        <v>245</v>
      </c>
      <c r="R33" s="21">
        <v>42470</v>
      </c>
      <c r="S33" s="22" t="s">
        <v>246</v>
      </c>
      <c r="T33" s="22">
        <v>2016</v>
      </c>
      <c r="U33" s="21">
        <v>42460</v>
      </c>
      <c r="V33" s="22"/>
    </row>
    <row r="34" spans="1:22" ht="19.5" customHeight="1" x14ac:dyDescent="0.3">
      <c r="A34" s="3">
        <v>2016</v>
      </c>
      <c r="B34" s="4">
        <v>42370</v>
      </c>
      <c r="C34" s="3">
        <v>2000</v>
      </c>
      <c r="D34" s="9" t="s">
        <v>98</v>
      </c>
      <c r="E34" s="6">
        <v>268699.95</v>
      </c>
      <c r="F34" s="6">
        <v>269286.15000000002</v>
      </c>
      <c r="G34" s="6">
        <v>28586.2</v>
      </c>
      <c r="H34" s="3">
        <v>2100</v>
      </c>
      <c r="I34" s="9" t="s">
        <v>98</v>
      </c>
      <c r="J34" s="6">
        <v>268699.95</v>
      </c>
      <c r="K34" s="6">
        <v>269286.15000000002</v>
      </c>
      <c r="L34" s="6">
        <v>28586.2</v>
      </c>
      <c r="M34" s="19">
        <v>27</v>
      </c>
      <c r="N34" s="7" t="s">
        <v>237</v>
      </c>
      <c r="O34" s="20" t="s">
        <v>245</v>
      </c>
      <c r="P34" s="20" t="s">
        <v>245</v>
      </c>
      <c r="Q34" s="20" t="s">
        <v>245</v>
      </c>
      <c r="R34" s="21">
        <v>42470</v>
      </c>
      <c r="S34" s="22" t="s">
        <v>246</v>
      </c>
      <c r="T34" s="22">
        <v>2016</v>
      </c>
      <c r="U34" s="21">
        <v>42460</v>
      </c>
      <c r="V34" s="22"/>
    </row>
    <row r="35" spans="1:22" ht="19.5" customHeight="1" x14ac:dyDescent="0.3">
      <c r="A35" s="3">
        <v>2016</v>
      </c>
      <c r="B35" s="4">
        <v>42370</v>
      </c>
      <c r="C35" s="3">
        <v>2000</v>
      </c>
      <c r="D35" s="7" t="s">
        <v>99</v>
      </c>
      <c r="E35" s="6">
        <v>116000</v>
      </c>
      <c r="F35" s="6">
        <v>116000</v>
      </c>
      <c r="G35" s="6">
        <v>0</v>
      </c>
      <c r="H35" s="3">
        <v>2100</v>
      </c>
      <c r="I35" s="7" t="s">
        <v>99</v>
      </c>
      <c r="J35" s="6">
        <v>116000</v>
      </c>
      <c r="K35" s="6">
        <v>116000</v>
      </c>
      <c r="L35" s="6">
        <v>0</v>
      </c>
      <c r="M35" s="23">
        <v>28</v>
      </c>
      <c r="N35" s="7" t="s">
        <v>237</v>
      </c>
      <c r="O35" s="20" t="s">
        <v>245</v>
      </c>
      <c r="P35" s="20" t="s">
        <v>245</v>
      </c>
      <c r="Q35" s="20" t="s">
        <v>245</v>
      </c>
      <c r="R35" s="21">
        <v>42470</v>
      </c>
      <c r="S35" s="22" t="s">
        <v>246</v>
      </c>
      <c r="T35" s="22">
        <v>2016</v>
      </c>
      <c r="U35" s="21">
        <v>42460</v>
      </c>
      <c r="V35" s="22"/>
    </row>
    <row r="36" spans="1:22" ht="19.5" customHeight="1" x14ac:dyDescent="0.3">
      <c r="A36" s="3">
        <v>2016</v>
      </c>
      <c r="B36" s="4">
        <v>42370</v>
      </c>
      <c r="C36" s="3">
        <v>2000</v>
      </c>
      <c r="D36" s="9" t="s">
        <v>100</v>
      </c>
      <c r="E36" s="6">
        <v>13474660.039999999</v>
      </c>
      <c r="F36" s="6">
        <v>15146560.289999999</v>
      </c>
      <c r="G36" s="6">
        <v>6473532.7199999997</v>
      </c>
      <c r="H36" s="3">
        <v>2200</v>
      </c>
      <c r="I36" s="9" t="s">
        <v>100</v>
      </c>
      <c r="J36" s="6">
        <v>13474660.039999999</v>
      </c>
      <c r="K36" s="6">
        <v>15146560.289999999</v>
      </c>
      <c r="L36" s="6">
        <v>6473532.7199999997</v>
      </c>
      <c r="M36" s="19">
        <v>29</v>
      </c>
      <c r="N36" s="7" t="s">
        <v>237</v>
      </c>
      <c r="O36" s="20" t="s">
        <v>245</v>
      </c>
      <c r="P36" s="20" t="s">
        <v>245</v>
      </c>
      <c r="Q36" s="20" t="s">
        <v>245</v>
      </c>
      <c r="R36" s="21">
        <v>42470</v>
      </c>
      <c r="S36" s="22" t="s">
        <v>246</v>
      </c>
      <c r="T36" s="22">
        <v>2016</v>
      </c>
      <c r="U36" s="21">
        <v>42460</v>
      </c>
      <c r="V36" s="22"/>
    </row>
    <row r="37" spans="1:22" ht="19.5" customHeight="1" x14ac:dyDescent="0.3">
      <c r="A37" s="3">
        <v>2016</v>
      </c>
      <c r="B37" s="4">
        <v>42370</v>
      </c>
      <c r="C37" s="3">
        <v>2000</v>
      </c>
      <c r="D37" s="9" t="s">
        <v>101</v>
      </c>
      <c r="E37" s="6">
        <v>17079.2</v>
      </c>
      <c r="F37" s="6">
        <v>877829.61</v>
      </c>
      <c r="G37" s="6">
        <v>722176.16</v>
      </c>
      <c r="H37" s="3">
        <v>2200</v>
      </c>
      <c r="I37" s="9" t="s">
        <v>101</v>
      </c>
      <c r="J37" s="6">
        <v>17079.2</v>
      </c>
      <c r="K37" s="6">
        <v>877829.61</v>
      </c>
      <c r="L37" s="6">
        <v>722176.16</v>
      </c>
      <c r="M37" s="23">
        <v>30</v>
      </c>
      <c r="N37" s="7" t="s">
        <v>237</v>
      </c>
      <c r="O37" s="20" t="s">
        <v>245</v>
      </c>
      <c r="P37" s="20" t="s">
        <v>245</v>
      </c>
      <c r="Q37" s="20" t="s">
        <v>245</v>
      </c>
      <c r="R37" s="21">
        <v>42470</v>
      </c>
      <c r="S37" s="22" t="s">
        <v>246</v>
      </c>
      <c r="T37" s="22">
        <v>2016</v>
      </c>
      <c r="U37" s="21">
        <v>42460</v>
      </c>
      <c r="V37" s="22"/>
    </row>
    <row r="38" spans="1:22" ht="19.5" customHeight="1" x14ac:dyDescent="0.3">
      <c r="A38" s="3">
        <v>2016</v>
      </c>
      <c r="B38" s="4">
        <v>42370</v>
      </c>
      <c r="C38" s="3">
        <v>2000</v>
      </c>
      <c r="D38" s="7" t="s">
        <v>102</v>
      </c>
      <c r="E38" s="6">
        <v>1650</v>
      </c>
      <c r="F38" s="6">
        <v>1650</v>
      </c>
      <c r="G38" s="6">
        <v>0</v>
      </c>
      <c r="H38" s="3">
        <v>2300</v>
      </c>
      <c r="I38" s="7" t="s">
        <v>102</v>
      </c>
      <c r="J38" s="6">
        <v>1650</v>
      </c>
      <c r="K38" s="6">
        <v>1650</v>
      </c>
      <c r="L38" s="6">
        <v>0</v>
      </c>
      <c r="M38" s="19">
        <v>31</v>
      </c>
      <c r="N38" s="7" t="s">
        <v>237</v>
      </c>
      <c r="O38" s="20" t="s">
        <v>245</v>
      </c>
      <c r="P38" s="20" t="s">
        <v>245</v>
      </c>
      <c r="Q38" s="20" t="s">
        <v>245</v>
      </c>
      <c r="R38" s="21">
        <v>42470</v>
      </c>
      <c r="S38" s="22" t="s">
        <v>246</v>
      </c>
      <c r="T38" s="22">
        <v>2016</v>
      </c>
      <c r="U38" s="21">
        <v>42460</v>
      </c>
      <c r="V38" s="22"/>
    </row>
    <row r="39" spans="1:22" ht="19.5" customHeight="1" x14ac:dyDescent="0.3">
      <c r="A39" s="3">
        <v>2016</v>
      </c>
      <c r="B39" s="4">
        <v>42370</v>
      </c>
      <c r="C39" s="3">
        <v>2000</v>
      </c>
      <c r="D39" s="7" t="s">
        <v>103</v>
      </c>
      <c r="E39" s="6">
        <v>0</v>
      </c>
      <c r="F39" s="6">
        <v>128992</v>
      </c>
      <c r="G39" s="6">
        <v>58941.33</v>
      </c>
      <c r="H39" s="3">
        <v>2300</v>
      </c>
      <c r="I39" s="7" t="s">
        <v>103</v>
      </c>
      <c r="J39" s="6">
        <v>0</v>
      </c>
      <c r="K39" s="6">
        <v>128992</v>
      </c>
      <c r="L39" s="6">
        <v>58941.33</v>
      </c>
      <c r="M39" s="23">
        <v>32</v>
      </c>
      <c r="N39" s="7" t="s">
        <v>237</v>
      </c>
      <c r="O39" s="20" t="s">
        <v>245</v>
      </c>
      <c r="P39" s="20" t="s">
        <v>245</v>
      </c>
      <c r="Q39" s="20" t="s">
        <v>245</v>
      </c>
      <c r="R39" s="21">
        <v>42470</v>
      </c>
      <c r="S39" s="22" t="s">
        <v>246</v>
      </c>
      <c r="T39" s="22">
        <v>2016</v>
      </c>
      <c r="U39" s="21">
        <v>42460</v>
      </c>
      <c r="V39" s="22"/>
    </row>
    <row r="40" spans="1:22" ht="19.5" customHeight="1" x14ac:dyDescent="0.3">
      <c r="A40" s="3">
        <v>2016</v>
      </c>
      <c r="B40" s="4">
        <v>42370</v>
      </c>
      <c r="C40" s="3">
        <v>2000</v>
      </c>
      <c r="D40" s="7" t="s">
        <v>104</v>
      </c>
      <c r="E40" s="6">
        <v>470800</v>
      </c>
      <c r="F40" s="6">
        <v>431185.04</v>
      </c>
      <c r="G40" s="6">
        <v>206329.74</v>
      </c>
      <c r="H40" s="3">
        <v>2300</v>
      </c>
      <c r="I40" s="7" t="s">
        <v>104</v>
      </c>
      <c r="J40" s="6">
        <v>470800</v>
      </c>
      <c r="K40" s="6">
        <v>431185.04</v>
      </c>
      <c r="L40" s="6">
        <v>206329.74</v>
      </c>
      <c r="M40" s="19">
        <v>33</v>
      </c>
      <c r="N40" s="7" t="s">
        <v>237</v>
      </c>
      <c r="O40" s="20" t="s">
        <v>245</v>
      </c>
      <c r="P40" s="20" t="s">
        <v>245</v>
      </c>
      <c r="Q40" s="20" t="s">
        <v>245</v>
      </c>
      <c r="R40" s="21">
        <v>42470</v>
      </c>
      <c r="S40" s="22" t="s">
        <v>246</v>
      </c>
      <c r="T40" s="22">
        <v>2016</v>
      </c>
      <c r="U40" s="21">
        <v>42460</v>
      </c>
      <c r="V40" s="22"/>
    </row>
    <row r="41" spans="1:22" ht="19.5" customHeight="1" x14ac:dyDescent="0.3">
      <c r="A41" s="3">
        <v>2016</v>
      </c>
      <c r="B41" s="4">
        <v>42370</v>
      </c>
      <c r="C41" s="3">
        <v>2000</v>
      </c>
      <c r="D41" s="7" t="s">
        <v>105</v>
      </c>
      <c r="E41" s="6">
        <v>102000</v>
      </c>
      <c r="F41" s="6">
        <v>102000</v>
      </c>
      <c r="G41" s="6">
        <v>0</v>
      </c>
      <c r="H41" s="3">
        <v>2300</v>
      </c>
      <c r="I41" s="7" t="s">
        <v>105</v>
      </c>
      <c r="J41" s="6">
        <v>102000</v>
      </c>
      <c r="K41" s="6">
        <v>102000</v>
      </c>
      <c r="L41" s="6">
        <v>0</v>
      </c>
      <c r="M41" s="23">
        <v>34</v>
      </c>
      <c r="N41" s="7" t="s">
        <v>237</v>
      </c>
      <c r="O41" s="20" t="s">
        <v>245</v>
      </c>
      <c r="P41" s="20" t="s">
        <v>245</v>
      </c>
      <c r="Q41" s="20" t="s">
        <v>245</v>
      </c>
      <c r="R41" s="21">
        <v>42470</v>
      </c>
      <c r="S41" s="22" t="s">
        <v>246</v>
      </c>
      <c r="T41" s="22">
        <v>2016</v>
      </c>
      <c r="U41" s="21">
        <v>42460</v>
      </c>
      <c r="V41" s="22"/>
    </row>
    <row r="42" spans="1:22" ht="19.5" customHeight="1" x14ac:dyDescent="0.3">
      <c r="A42" s="3">
        <v>2016</v>
      </c>
      <c r="B42" s="4">
        <v>42370</v>
      </c>
      <c r="C42" s="3">
        <v>2000</v>
      </c>
      <c r="D42" s="7" t="s">
        <v>106</v>
      </c>
      <c r="E42" s="6">
        <v>0</v>
      </c>
      <c r="F42" s="6">
        <v>41470</v>
      </c>
      <c r="G42" s="6">
        <v>41470</v>
      </c>
      <c r="H42" s="3">
        <v>2400</v>
      </c>
      <c r="I42" s="7" t="s">
        <v>106</v>
      </c>
      <c r="J42" s="6">
        <v>0</v>
      </c>
      <c r="K42" s="6">
        <v>41470</v>
      </c>
      <c r="L42" s="6">
        <v>41470</v>
      </c>
      <c r="M42" s="19">
        <v>35</v>
      </c>
      <c r="N42" s="7" t="s">
        <v>237</v>
      </c>
      <c r="O42" s="20" t="s">
        <v>245</v>
      </c>
      <c r="P42" s="20" t="s">
        <v>245</v>
      </c>
      <c r="Q42" s="20" t="s">
        <v>245</v>
      </c>
      <c r="R42" s="21">
        <v>42470</v>
      </c>
      <c r="S42" s="22" t="s">
        <v>246</v>
      </c>
      <c r="T42" s="22">
        <v>2016</v>
      </c>
      <c r="U42" s="21">
        <v>42460</v>
      </c>
      <c r="V42" s="22"/>
    </row>
    <row r="43" spans="1:22" ht="19.5" customHeight="1" x14ac:dyDescent="0.3">
      <c r="A43" s="3">
        <v>2016</v>
      </c>
      <c r="B43" s="4">
        <v>42370</v>
      </c>
      <c r="C43" s="3">
        <v>2000</v>
      </c>
      <c r="D43" s="7" t="s">
        <v>107</v>
      </c>
      <c r="E43" s="6">
        <v>32500</v>
      </c>
      <c r="F43" s="6">
        <v>37803.22</v>
      </c>
      <c r="G43" s="6">
        <v>32803.22</v>
      </c>
      <c r="H43" s="3">
        <v>2400</v>
      </c>
      <c r="I43" s="7" t="s">
        <v>107</v>
      </c>
      <c r="J43" s="6">
        <v>32500</v>
      </c>
      <c r="K43" s="6">
        <v>37803.22</v>
      </c>
      <c r="L43" s="6">
        <v>32803.22</v>
      </c>
      <c r="M43" s="23">
        <v>36</v>
      </c>
      <c r="N43" s="7" t="s">
        <v>237</v>
      </c>
      <c r="O43" s="20" t="s">
        <v>245</v>
      </c>
      <c r="P43" s="20" t="s">
        <v>245</v>
      </c>
      <c r="Q43" s="20" t="s">
        <v>245</v>
      </c>
      <c r="R43" s="21">
        <v>42470</v>
      </c>
      <c r="S43" s="22" t="s">
        <v>246</v>
      </c>
      <c r="T43" s="22">
        <v>2016</v>
      </c>
      <c r="U43" s="21">
        <v>42460</v>
      </c>
      <c r="V43" s="22"/>
    </row>
    <row r="44" spans="1:22" ht="19.5" customHeight="1" x14ac:dyDescent="0.3">
      <c r="A44" s="3">
        <v>2016</v>
      </c>
      <c r="B44" s="4">
        <v>42370</v>
      </c>
      <c r="C44" s="3">
        <v>2000</v>
      </c>
      <c r="D44" s="7" t="s">
        <v>108</v>
      </c>
      <c r="E44" s="6">
        <v>1000</v>
      </c>
      <c r="F44" s="6">
        <v>1000</v>
      </c>
      <c r="G44" s="6">
        <v>0</v>
      </c>
      <c r="H44" s="3">
        <v>2400</v>
      </c>
      <c r="I44" s="7" t="s">
        <v>108</v>
      </c>
      <c r="J44" s="6">
        <v>1000</v>
      </c>
      <c r="K44" s="6">
        <v>1000</v>
      </c>
      <c r="L44" s="6">
        <v>0</v>
      </c>
      <c r="M44" s="19">
        <v>37</v>
      </c>
      <c r="N44" s="7" t="s">
        <v>237</v>
      </c>
      <c r="O44" s="20" t="s">
        <v>245</v>
      </c>
      <c r="P44" s="20" t="s">
        <v>245</v>
      </c>
      <c r="Q44" s="20" t="s">
        <v>245</v>
      </c>
      <c r="R44" s="21">
        <v>42470</v>
      </c>
      <c r="S44" s="22" t="s">
        <v>246</v>
      </c>
      <c r="T44" s="22">
        <v>2016</v>
      </c>
      <c r="U44" s="21">
        <v>42460</v>
      </c>
      <c r="V44" s="22"/>
    </row>
    <row r="45" spans="1:22" ht="19.5" customHeight="1" x14ac:dyDescent="0.3">
      <c r="A45" s="3">
        <v>2016</v>
      </c>
      <c r="B45" s="4">
        <v>42370</v>
      </c>
      <c r="C45" s="3">
        <v>2000</v>
      </c>
      <c r="D45" s="7" t="s">
        <v>109</v>
      </c>
      <c r="E45" s="6">
        <v>21000</v>
      </c>
      <c r="F45" s="6">
        <v>34190.32</v>
      </c>
      <c r="G45" s="6">
        <v>28190.32</v>
      </c>
      <c r="H45" s="3">
        <v>2400</v>
      </c>
      <c r="I45" s="7" t="s">
        <v>109</v>
      </c>
      <c r="J45" s="6">
        <v>21000</v>
      </c>
      <c r="K45" s="6">
        <v>34190.32</v>
      </c>
      <c r="L45" s="6">
        <v>28190.32</v>
      </c>
      <c r="M45" s="23">
        <v>38</v>
      </c>
      <c r="N45" s="7" t="s">
        <v>237</v>
      </c>
      <c r="O45" s="20" t="s">
        <v>245</v>
      </c>
      <c r="P45" s="20" t="s">
        <v>245</v>
      </c>
      <c r="Q45" s="20" t="s">
        <v>245</v>
      </c>
      <c r="R45" s="21">
        <v>42470</v>
      </c>
      <c r="S45" s="22" t="s">
        <v>246</v>
      </c>
      <c r="T45" s="22">
        <v>2016</v>
      </c>
      <c r="U45" s="21">
        <v>42460</v>
      </c>
      <c r="V45" s="22"/>
    </row>
    <row r="46" spans="1:22" ht="19.5" customHeight="1" x14ac:dyDescent="0.3">
      <c r="A46" s="3">
        <v>2016</v>
      </c>
      <c r="B46" s="4">
        <v>42370</v>
      </c>
      <c r="C46" s="3">
        <v>2000</v>
      </c>
      <c r="D46" s="7" t="s">
        <v>110</v>
      </c>
      <c r="E46" s="6">
        <v>10000</v>
      </c>
      <c r="F46" s="6">
        <v>12000</v>
      </c>
      <c r="G46" s="6">
        <v>2000</v>
      </c>
      <c r="H46" s="3">
        <v>2400</v>
      </c>
      <c r="I46" s="7" t="s">
        <v>110</v>
      </c>
      <c r="J46" s="6">
        <v>10000</v>
      </c>
      <c r="K46" s="6">
        <v>12000</v>
      </c>
      <c r="L46" s="6">
        <v>2000</v>
      </c>
      <c r="M46" s="19">
        <v>39</v>
      </c>
      <c r="N46" s="7" t="s">
        <v>237</v>
      </c>
      <c r="O46" s="20" t="s">
        <v>245</v>
      </c>
      <c r="P46" s="20" t="s">
        <v>245</v>
      </c>
      <c r="Q46" s="20" t="s">
        <v>245</v>
      </c>
      <c r="R46" s="21">
        <v>42470</v>
      </c>
      <c r="S46" s="22" t="s">
        <v>246</v>
      </c>
      <c r="T46" s="22">
        <v>2016</v>
      </c>
      <c r="U46" s="21">
        <v>42460</v>
      </c>
      <c r="V46" s="22"/>
    </row>
    <row r="47" spans="1:22" ht="19.5" customHeight="1" x14ac:dyDescent="0.3">
      <c r="A47" s="3">
        <v>2016</v>
      </c>
      <c r="B47" s="4">
        <v>42370</v>
      </c>
      <c r="C47" s="3">
        <v>2000</v>
      </c>
      <c r="D47" s="7" t="s">
        <v>111</v>
      </c>
      <c r="E47" s="6">
        <v>44562</v>
      </c>
      <c r="F47" s="6">
        <v>1375032.23</v>
      </c>
      <c r="G47" s="6">
        <v>953896.33</v>
      </c>
      <c r="H47" s="3">
        <v>2400</v>
      </c>
      <c r="I47" s="7" t="s">
        <v>111</v>
      </c>
      <c r="J47" s="6">
        <v>44562</v>
      </c>
      <c r="K47" s="6">
        <v>1375032.23</v>
      </c>
      <c r="L47" s="6">
        <v>953896.33</v>
      </c>
      <c r="M47" s="23">
        <v>40</v>
      </c>
      <c r="N47" s="7" t="s">
        <v>237</v>
      </c>
      <c r="O47" s="20" t="s">
        <v>245</v>
      </c>
      <c r="P47" s="20" t="s">
        <v>245</v>
      </c>
      <c r="Q47" s="20" t="s">
        <v>245</v>
      </c>
      <c r="R47" s="21">
        <v>42470</v>
      </c>
      <c r="S47" s="22" t="s">
        <v>246</v>
      </c>
      <c r="T47" s="22">
        <v>2016</v>
      </c>
      <c r="U47" s="21">
        <v>42460</v>
      </c>
      <c r="V47" s="22"/>
    </row>
    <row r="48" spans="1:22" ht="19.5" customHeight="1" x14ac:dyDescent="0.3">
      <c r="A48" s="3">
        <v>2016</v>
      </c>
      <c r="B48" s="4">
        <v>42370</v>
      </c>
      <c r="C48" s="3">
        <v>2000</v>
      </c>
      <c r="D48" s="7" t="s">
        <v>112</v>
      </c>
      <c r="E48" s="6">
        <v>27105</v>
      </c>
      <c r="F48" s="6">
        <v>341954.46</v>
      </c>
      <c r="G48" s="6">
        <v>16741.5</v>
      </c>
      <c r="H48" s="3">
        <v>2400</v>
      </c>
      <c r="I48" s="7" t="s">
        <v>112</v>
      </c>
      <c r="J48" s="6">
        <v>27105</v>
      </c>
      <c r="K48" s="6">
        <v>341954.46</v>
      </c>
      <c r="L48" s="6">
        <v>16741.5</v>
      </c>
      <c r="M48" s="19">
        <v>41</v>
      </c>
      <c r="N48" s="7" t="s">
        <v>237</v>
      </c>
      <c r="O48" s="20" t="s">
        <v>245</v>
      </c>
      <c r="P48" s="20" t="s">
        <v>245</v>
      </c>
      <c r="Q48" s="20" t="s">
        <v>245</v>
      </c>
      <c r="R48" s="21">
        <v>42470</v>
      </c>
      <c r="S48" s="22" t="s">
        <v>246</v>
      </c>
      <c r="T48" s="22">
        <v>2016</v>
      </c>
      <c r="U48" s="21">
        <v>42460</v>
      </c>
      <c r="V48" s="22"/>
    </row>
    <row r="49" spans="1:22" ht="19.5" customHeight="1" x14ac:dyDescent="0.3">
      <c r="A49" s="3">
        <v>2016</v>
      </c>
      <c r="B49" s="4">
        <v>42370</v>
      </c>
      <c r="C49" s="3">
        <v>2000</v>
      </c>
      <c r="D49" s="7" t="s">
        <v>113</v>
      </c>
      <c r="E49" s="6">
        <v>437000</v>
      </c>
      <c r="F49" s="6">
        <v>585272.06999999995</v>
      </c>
      <c r="G49" s="6">
        <v>3184.2</v>
      </c>
      <c r="H49" s="3">
        <v>2400</v>
      </c>
      <c r="I49" s="7" t="s">
        <v>113</v>
      </c>
      <c r="J49" s="6">
        <v>437000</v>
      </c>
      <c r="K49" s="6">
        <v>585272.06999999995</v>
      </c>
      <c r="L49" s="6">
        <v>3184.2</v>
      </c>
      <c r="M49" s="23">
        <v>42</v>
      </c>
      <c r="N49" s="7" t="s">
        <v>237</v>
      </c>
      <c r="O49" s="20" t="s">
        <v>245</v>
      </c>
      <c r="P49" s="20" t="s">
        <v>245</v>
      </c>
      <c r="Q49" s="20" t="s">
        <v>245</v>
      </c>
      <c r="R49" s="21">
        <v>42470</v>
      </c>
      <c r="S49" s="22" t="s">
        <v>246</v>
      </c>
      <c r="T49" s="22">
        <v>2016</v>
      </c>
      <c r="U49" s="21">
        <v>42460</v>
      </c>
      <c r="V49" s="22"/>
    </row>
    <row r="50" spans="1:22" ht="19.5" customHeight="1" x14ac:dyDescent="0.3">
      <c r="A50" s="3">
        <v>2016</v>
      </c>
      <c r="B50" s="4">
        <v>42370</v>
      </c>
      <c r="C50" s="3">
        <v>2000</v>
      </c>
      <c r="D50" s="7" t="s">
        <v>114</v>
      </c>
      <c r="E50" s="6">
        <v>4928.8</v>
      </c>
      <c r="F50" s="6">
        <v>183077</v>
      </c>
      <c r="G50" s="6">
        <v>178148.2</v>
      </c>
      <c r="H50" s="3">
        <v>2400</v>
      </c>
      <c r="I50" s="7" t="s">
        <v>114</v>
      </c>
      <c r="J50" s="6">
        <v>4928.8</v>
      </c>
      <c r="K50" s="6">
        <v>183077</v>
      </c>
      <c r="L50" s="6">
        <v>178148.2</v>
      </c>
      <c r="M50" s="19">
        <v>43</v>
      </c>
      <c r="N50" s="7" t="s">
        <v>237</v>
      </c>
      <c r="O50" s="20" t="s">
        <v>245</v>
      </c>
      <c r="P50" s="20" t="s">
        <v>245</v>
      </c>
      <c r="Q50" s="20" t="s">
        <v>245</v>
      </c>
      <c r="R50" s="21">
        <v>42470</v>
      </c>
      <c r="S50" s="22" t="s">
        <v>246</v>
      </c>
      <c r="T50" s="22">
        <v>2016</v>
      </c>
      <c r="U50" s="21">
        <v>42460</v>
      </c>
      <c r="V50" s="22"/>
    </row>
    <row r="51" spans="1:22" ht="19.5" customHeight="1" x14ac:dyDescent="0.3">
      <c r="A51" s="3">
        <v>2016</v>
      </c>
      <c r="B51" s="4">
        <v>42370</v>
      </c>
      <c r="C51" s="3">
        <v>2000</v>
      </c>
      <c r="D51" s="9" t="s">
        <v>115</v>
      </c>
      <c r="E51" s="6">
        <v>114335.08</v>
      </c>
      <c r="F51" s="6">
        <v>1332851.69</v>
      </c>
      <c r="G51" s="6">
        <v>106355.64</v>
      </c>
      <c r="H51" s="3">
        <v>2500</v>
      </c>
      <c r="I51" s="9" t="s">
        <v>115</v>
      </c>
      <c r="J51" s="6">
        <v>114335.08</v>
      </c>
      <c r="K51" s="6">
        <v>1332851.69</v>
      </c>
      <c r="L51" s="6">
        <v>106355.64</v>
      </c>
      <c r="M51" s="23">
        <v>44</v>
      </c>
      <c r="N51" s="7" t="s">
        <v>237</v>
      </c>
      <c r="O51" s="20" t="s">
        <v>245</v>
      </c>
      <c r="P51" s="20" t="s">
        <v>245</v>
      </c>
      <c r="Q51" s="20" t="s">
        <v>245</v>
      </c>
      <c r="R51" s="21">
        <v>42470</v>
      </c>
      <c r="S51" s="22" t="s">
        <v>246</v>
      </c>
      <c r="T51" s="22">
        <v>2016</v>
      </c>
      <c r="U51" s="21">
        <v>42460</v>
      </c>
      <c r="V51" s="22"/>
    </row>
    <row r="52" spans="1:22" ht="19.5" customHeight="1" x14ac:dyDescent="0.3">
      <c r="A52" s="3">
        <v>2016</v>
      </c>
      <c r="B52" s="4">
        <v>42370</v>
      </c>
      <c r="C52" s="3">
        <v>2000</v>
      </c>
      <c r="D52" s="9" t="s">
        <v>116</v>
      </c>
      <c r="E52" s="6">
        <v>50000</v>
      </c>
      <c r="F52" s="6">
        <v>97165.64</v>
      </c>
      <c r="G52" s="6">
        <v>1185.6400000000001</v>
      </c>
      <c r="H52" s="3">
        <v>2500</v>
      </c>
      <c r="I52" s="9" t="s">
        <v>116</v>
      </c>
      <c r="J52" s="6">
        <v>50000</v>
      </c>
      <c r="K52" s="6">
        <v>97165.64</v>
      </c>
      <c r="L52" s="6">
        <v>1185.6400000000001</v>
      </c>
      <c r="M52" s="19">
        <v>45</v>
      </c>
      <c r="N52" s="7" t="s">
        <v>237</v>
      </c>
      <c r="O52" s="20" t="s">
        <v>245</v>
      </c>
      <c r="P52" s="20" t="s">
        <v>245</v>
      </c>
      <c r="Q52" s="20" t="s">
        <v>245</v>
      </c>
      <c r="R52" s="21">
        <v>42470</v>
      </c>
      <c r="S52" s="22" t="s">
        <v>246</v>
      </c>
      <c r="T52" s="22">
        <v>2016</v>
      </c>
      <c r="U52" s="21">
        <v>42460</v>
      </c>
      <c r="V52" s="22"/>
    </row>
    <row r="53" spans="1:22" ht="19.5" customHeight="1" x14ac:dyDescent="0.3">
      <c r="A53" s="3">
        <v>2016</v>
      </c>
      <c r="B53" s="4">
        <v>42370</v>
      </c>
      <c r="C53" s="3">
        <v>2000</v>
      </c>
      <c r="D53" s="9" t="s">
        <v>117</v>
      </c>
      <c r="E53" s="6">
        <v>111209.25</v>
      </c>
      <c r="F53" s="6">
        <v>65321.08</v>
      </c>
      <c r="G53" s="6">
        <v>458.68</v>
      </c>
      <c r="H53" s="3">
        <v>2500</v>
      </c>
      <c r="I53" s="9" t="s">
        <v>117</v>
      </c>
      <c r="J53" s="6">
        <v>111209.25</v>
      </c>
      <c r="K53" s="6">
        <v>65321.08</v>
      </c>
      <c r="L53" s="6">
        <v>458.68</v>
      </c>
      <c r="M53" s="23">
        <v>46</v>
      </c>
      <c r="N53" s="7" t="s">
        <v>237</v>
      </c>
      <c r="O53" s="20" t="s">
        <v>245</v>
      </c>
      <c r="P53" s="20" t="s">
        <v>245</v>
      </c>
      <c r="Q53" s="20" t="s">
        <v>245</v>
      </c>
      <c r="R53" s="21">
        <v>42470</v>
      </c>
      <c r="S53" s="22" t="s">
        <v>246</v>
      </c>
      <c r="T53" s="22">
        <v>2016</v>
      </c>
      <c r="U53" s="21">
        <v>42460</v>
      </c>
      <c r="V53" s="22"/>
    </row>
    <row r="54" spans="1:22" ht="19.5" customHeight="1" x14ac:dyDescent="0.3">
      <c r="A54" s="3">
        <v>2016</v>
      </c>
      <c r="B54" s="4">
        <v>42370</v>
      </c>
      <c r="C54" s="3">
        <v>2000</v>
      </c>
      <c r="D54" s="9" t="s">
        <v>118</v>
      </c>
      <c r="E54" s="6">
        <v>1910543.49</v>
      </c>
      <c r="F54" s="6">
        <v>2535022.91</v>
      </c>
      <c r="G54" s="6">
        <v>293405.99</v>
      </c>
      <c r="H54" s="3">
        <v>2500</v>
      </c>
      <c r="I54" s="9" t="s">
        <v>118</v>
      </c>
      <c r="J54" s="6">
        <v>1910543.49</v>
      </c>
      <c r="K54" s="6">
        <v>2535022.91</v>
      </c>
      <c r="L54" s="6">
        <v>293405.99</v>
      </c>
      <c r="M54" s="19">
        <v>47</v>
      </c>
      <c r="N54" s="7" t="s">
        <v>237</v>
      </c>
      <c r="O54" s="20" t="s">
        <v>245</v>
      </c>
      <c r="P54" s="20" t="s">
        <v>245</v>
      </c>
      <c r="Q54" s="20" t="s">
        <v>245</v>
      </c>
      <c r="R54" s="21">
        <v>42470</v>
      </c>
      <c r="S54" s="22" t="s">
        <v>246</v>
      </c>
      <c r="T54" s="22">
        <v>2016</v>
      </c>
      <c r="U54" s="21">
        <v>42460</v>
      </c>
      <c r="V54" s="22"/>
    </row>
    <row r="55" spans="1:22" ht="19.5" customHeight="1" x14ac:dyDescent="0.3">
      <c r="A55" s="3">
        <v>2016</v>
      </c>
      <c r="B55" s="4">
        <v>42370</v>
      </c>
      <c r="C55" s="3">
        <v>2000</v>
      </c>
      <c r="D55" s="9" t="s">
        <v>119</v>
      </c>
      <c r="E55" s="6">
        <v>27600</v>
      </c>
      <c r="F55" s="6">
        <v>299086.44</v>
      </c>
      <c r="G55" s="6">
        <v>265654.77</v>
      </c>
      <c r="H55" s="3">
        <v>2500</v>
      </c>
      <c r="I55" s="9" t="s">
        <v>119</v>
      </c>
      <c r="J55" s="6">
        <v>27600</v>
      </c>
      <c r="K55" s="6">
        <v>299086.44</v>
      </c>
      <c r="L55" s="6">
        <v>265654.77</v>
      </c>
      <c r="M55" s="23">
        <v>48</v>
      </c>
      <c r="N55" s="7" t="s">
        <v>237</v>
      </c>
      <c r="O55" s="20" t="s">
        <v>245</v>
      </c>
      <c r="P55" s="20" t="s">
        <v>245</v>
      </c>
      <c r="Q55" s="20" t="s">
        <v>245</v>
      </c>
      <c r="R55" s="21">
        <v>42470</v>
      </c>
      <c r="S55" s="22" t="s">
        <v>246</v>
      </c>
      <c r="T55" s="22">
        <v>2016</v>
      </c>
      <c r="U55" s="21">
        <v>42460</v>
      </c>
      <c r="V55" s="22"/>
    </row>
    <row r="56" spans="1:22" ht="19.5" customHeight="1" x14ac:dyDescent="0.3">
      <c r="A56" s="3">
        <v>2016</v>
      </c>
      <c r="B56" s="4">
        <v>42370</v>
      </c>
      <c r="C56" s="3">
        <v>2000</v>
      </c>
      <c r="D56" s="7" t="s">
        <v>120</v>
      </c>
      <c r="E56" s="6">
        <v>2692.94</v>
      </c>
      <c r="F56" s="6">
        <v>143984.31</v>
      </c>
      <c r="G56" s="6">
        <f>777.2+141291.37</f>
        <v>142068.57</v>
      </c>
      <c r="H56" s="3">
        <v>2500</v>
      </c>
      <c r="I56" s="7" t="s">
        <v>120</v>
      </c>
      <c r="J56" s="6">
        <v>2692.94</v>
      </c>
      <c r="K56" s="6">
        <v>143984.31</v>
      </c>
      <c r="L56" s="6">
        <f>777.2+141291.37</f>
        <v>142068.57</v>
      </c>
      <c r="M56" s="19">
        <v>49</v>
      </c>
      <c r="N56" s="7" t="s">
        <v>237</v>
      </c>
      <c r="O56" s="20" t="s">
        <v>245</v>
      </c>
      <c r="P56" s="20" t="s">
        <v>245</v>
      </c>
      <c r="Q56" s="20" t="s">
        <v>245</v>
      </c>
      <c r="R56" s="21">
        <v>42470</v>
      </c>
      <c r="S56" s="22" t="s">
        <v>246</v>
      </c>
      <c r="T56" s="22">
        <v>2016</v>
      </c>
      <c r="U56" s="21">
        <v>42460</v>
      </c>
      <c r="V56" s="22"/>
    </row>
    <row r="57" spans="1:22" ht="19.5" customHeight="1" x14ac:dyDescent="0.3">
      <c r="A57" s="3">
        <v>2016</v>
      </c>
      <c r="B57" s="4">
        <v>42370</v>
      </c>
      <c r="C57" s="3">
        <v>2000</v>
      </c>
      <c r="D57" s="10" t="s">
        <v>121</v>
      </c>
      <c r="E57" s="6">
        <v>900000</v>
      </c>
      <c r="F57" s="6">
        <v>947270.98</v>
      </c>
      <c r="G57" s="6">
        <v>371592.28</v>
      </c>
      <c r="H57" s="3">
        <v>2600</v>
      </c>
      <c r="I57" s="10" t="s">
        <v>121</v>
      </c>
      <c r="J57" s="6">
        <v>900000</v>
      </c>
      <c r="K57" s="6">
        <v>947270.98</v>
      </c>
      <c r="L57" s="6">
        <v>371592.28</v>
      </c>
      <c r="M57" s="23">
        <v>50</v>
      </c>
      <c r="N57" s="7" t="s">
        <v>237</v>
      </c>
      <c r="O57" s="20" t="s">
        <v>245</v>
      </c>
      <c r="P57" s="20" t="s">
        <v>245</v>
      </c>
      <c r="Q57" s="20" t="s">
        <v>245</v>
      </c>
      <c r="R57" s="21">
        <v>42470</v>
      </c>
      <c r="S57" s="22" t="s">
        <v>246</v>
      </c>
      <c r="T57" s="22">
        <v>2016</v>
      </c>
      <c r="U57" s="21">
        <v>42460</v>
      </c>
      <c r="V57" s="22"/>
    </row>
    <row r="58" spans="1:22" ht="19.5" customHeight="1" x14ac:dyDescent="0.3">
      <c r="A58" s="3">
        <v>2016</v>
      </c>
      <c r="B58" s="4">
        <v>42370</v>
      </c>
      <c r="C58" s="3">
        <v>2000</v>
      </c>
      <c r="D58" s="10" t="s">
        <v>122</v>
      </c>
      <c r="E58" s="6">
        <v>1290000.21</v>
      </c>
      <c r="F58" s="6">
        <v>1745275.64</v>
      </c>
      <c r="G58" s="6">
        <v>344675.44</v>
      </c>
      <c r="H58" s="3">
        <v>2700</v>
      </c>
      <c r="I58" s="10" t="s">
        <v>122</v>
      </c>
      <c r="J58" s="6">
        <v>1290000.21</v>
      </c>
      <c r="K58" s="6">
        <v>1745275.64</v>
      </c>
      <c r="L58" s="6">
        <v>344675.44</v>
      </c>
      <c r="M58" s="19">
        <v>51</v>
      </c>
      <c r="N58" s="7" t="s">
        <v>237</v>
      </c>
      <c r="O58" s="20" t="s">
        <v>245</v>
      </c>
      <c r="P58" s="20" t="s">
        <v>245</v>
      </c>
      <c r="Q58" s="20" t="s">
        <v>245</v>
      </c>
      <c r="R58" s="21">
        <v>42470</v>
      </c>
      <c r="S58" s="22" t="s">
        <v>246</v>
      </c>
      <c r="T58" s="22">
        <v>2016</v>
      </c>
      <c r="U58" s="21">
        <v>42460</v>
      </c>
      <c r="V58" s="22"/>
    </row>
    <row r="59" spans="1:22" ht="19.5" customHeight="1" x14ac:dyDescent="0.3">
      <c r="A59" s="3">
        <v>2016</v>
      </c>
      <c r="B59" s="4">
        <v>42370</v>
      </c>
      <c r="C59" s="3">
        <v>2000</v>
      </c>
      <c r="D59" s="10" t="s">
        <v>123</v>
      </c>
      <c r="E59" s="6">
        <v>2593874.4</v>
      </c>
      <c r="F59" s="6">
        <v>3838179.48</v>
      </c>
      <c r="G59" s="6">
        <v>1200038.08</v>
      </c>
      <c r="H59" s="3">
        <v>2700</v>
      </c>
      <c r="I59" s="10" t="s">
        <v>123</v>
      </c>
      <c r="J59" s="6">
        <v>2593874.4</v>
      </c>
      <c r="K59" s="6">
        <v>3838179.48</v>
      </c>
      <c r="L59" s="6">
        <v>1200038.08</v>
      </c>
      <c r="M59" s="23">
        <v>52</v>
      </c>
      <c r="N59" s="7" t="s">
        <v>237</v>
      </c>
      <c r="O59" s="20" t="s">
        <v>245</v>
      </c>
      <c r="P59" s="20" t="s">
        <v>245</v>
      </c>
      <c r="Q59" s="20" t="s">
        <v>245</v>
      </c>
      <c r="R59" s="21">
        <v>42470</v>
      </c>
      <c r="S59" s="22" t="s">
        <v>246</v>
      </c>
      <c r="T59" s="22">
        <v>2016</v>
      </c>
      <c r="U59" s="21">
        <v>42460</v>
      </c>
      <c r="V59" s="22"/>
    </row>
    <row r="60" spans="1:22" ht="19.5" customHeight="1" x14ac:dyDescent="0.3">
      <c r="A60" s="3">
        <v>2016</v>
      </c>
      <c r="B60" s="4">
        <v>42370</v>
      </c>
      <c r="C60" s="3">
        <v>2000</v>
      </c>
      <c r="D60" s="10" t="s">
        <v>124</v>
      </c>
      <c r="E60" s="6">
        <v>530000</v>
      </c>
      <c r="F60" s="6">
        <v>551720.06999999995</v>
      </c>
      <c r="G60" s="6">
        <v>0</v>
      </c>
      <c r="H60" s="3">
        <v>2700</v>
      </c>
      <c r="I60" s="10" t="s">
        <v>124</v>
      </c>
      <c r="J60" s="6">
        <v>530000</v>
      </c>
      <c r="K60" s="6">
        <v>551720.06999999995</v>
      </c>
      <c r="L60" s="6">
        <v>0</v>
      </c>
      <c r="M60" s="19">
        <v>53</v>
      </c>
      <c r="N60" s="7" t="s">
        <v>237</v>
      </c>
      <c r="O60" s="20" t="s">
        <v>245</v>
      </c>
      <c r="P60" s="20" t="s">
        <v>245</v>
      </c>
      <c r="Q60" s="20" t="s">
        <v>245</v>
      </c>
      <c r="R60" s="21">
        <v>42470</v>
      </c>
      <c r="S60" s="22" t="s">
        <v>246</v>
      </c>
      <c r="T60" s="22">
        <v>2016</v>
      </c>
      <c r="U60" s="21">
        <v>42460</v>
      </c>
      <c r="V60" s="22"/>
    </row>
    <row r="61" spans="1:22" ht="19.5" customHeight="1" x14ac:dyDescent="0.3">
      <c r="A61" s="3">
        <v>2016</v>
      </c>
      <c r="B61" s="4">
        <v>42370</v>
      </c>
      <c r="C61" s="3">
        <v>2000</v>
      </c>
      <c r="D61" s="10" t="s">
        <v>125</v>
      </c>
      <c r="E61" s="6">
        <v>5428</v>
      </c>
      <c r="F61" s="6">
        <v>5857.93</v>
      </c>
      <c r="G61" s="6">
        <v>429.93</v>
      </c>
      <c r="H61" s="3">
        <v>2700</v>
      </c>
      <c r="I61" s="10" t="s">
        <v>125</v>
      </c>
      <c r="J61" s="6">
        <v>5428</v>
      </c>
      <c r="K61" s="6">
        <v>5857.93</v>
      </c>
      <c r="L61" s="6">
        <v>429.93</v>
      </c>
      <c r="M61" s="23">
        <v>54</v>
      </c>
      <c r="N61" s="7" t="s">
        <v>237</v>
      </c>
      <c r="O61" s="20" t="s">
        <v>245</v>
      </c>
      <c r="P61" s="20" t="s">
        <v>245</v>
      </c>
      <c r="Q61" s="20" t="s">
        <v>245</v>
      </c>
      <c r="R61" s="21">
        <v>42470</v>
      </c>
      <c r="S61" s="22" t="s">
        <v>246</v>
      </c>
      <c r="T61" s="22">
        <v>2016</v>
      </c>
      <c r="U61" s="21">
        <v>42460</v>
      </c>
      <c r="V61" s="22"/>
    </row>
    <row r="62" spans="1:22" ht="19.5" customHeight="1" x14ac:dyDescent="0.3">
      <c r="A62" s="3">
        <v>2016</v>
      </c>
      <c r="B62" s="4">
        <v>42370</v>
      </c>
      <c r="C62" s="3">
        <v>2000</v>
      </c>
      <c r="D62" s="7" t="s">
        <v>126</v>
      </c>
      <c r="E62" s="6">
        <v>21720</v>
      </c>
      <c r="F62" s="6">
        <v>0</v>
      </c>
      <c r="G62" s="6">
        <v>0</v>
      </c>
      <c r="H62" s="3">
        <v>2700</v>
      </c>
      <c r="I62" s="7" t="s">
        <v>126</v>
      </c>
      <c r="J62" s="6">
        <v>21720</v>
      </c>
      <c r="K62" s="6">
        <v>0</v>
      </c>
      <c r="L62" s="6">
        <v>0</v>
      </c>
      <c r="M62" s="19">
        <v>55</v>
      </c>
      <c r="N62" s="7" t="s">
        <v>237</v>
      </c>
      <c r="O62" s="20" t="s">
        <v>245</v>
      </c>
      <c r="P62" s="20" t="s">
        <v>245</v>
      </c>
      <c r="Q62" s="20" t="s">
        <v>245</v>
      </c>
      <c r="R62" s="21">
        <v>42470</v>
      </c>
      <c r="S62" s="22" t="s">
        <v>246</v>
      </c>
      <c r="T62" s="22">
        <v>2016</v>
      </c>
      <c r="U62" s="21">
        <v>42460</v>
      </c>
      <c r="V62" s="22"/>
    </row>
    <row r="63" spans="1:22" ht="19.5" customHeight="1" x14ac:dyDescent="0.3">
      <c r="A63" s="3">
        <v>2016</v>
      </c>
      <c r="B63" s="4">
        <v>42370</v>
      </c>
      <c r="C63" s="3">
        <v>2000</v>
      </c>
      <c r="D63" s="7" t="s">
        <v>127</v>
      </c>
      <c r="E63" s="6">
        <v>4649.8599999999997</v>
      </c>
      <c r="F63" s="6">
        <v>4649.8599999999997</v>
      </c>
      <c r="G63" s="6">
        <v>0</v>
      </c>
      <c r="H63" s="3">
        <v>2800</v>
      </c>
      <c r="I63" s="7" t="s">
        <v>127</v>
      </c>
      <c r="J63" s="6">
        <v>4649.8599999999997</v>
      </c>
      <c r="K63" s="6">
        <v>4649.8599999999997</v>
      </c>
      <c r="L63" s="6">
        <v>0</v>
      </c>
      <c r="M63" s="23">
        <v>56</v>
      </c>
      <c r="N63" s="7" t="s">
        <v>237</v>
      </c>
      <c r="O63" s="20" t="s">
        <v>245</v>
      </c>
      <c r="P63" s="20" t="s">
        <v>245</v>
      </c>
      <c r="Q63" s="20" t="s">
        <v>245</v>
      </c>
      <c r="R63" s="21">
        <v>42470</v>
      </c>
      <c r="S63" s="22" t="s">
        <v>246</v>
      </c>
      <c r="T63" s="22">
        <v>2016</v>
      </c>
      <c r="U63" s="21">
        <v>42460</v>
      </c>
      <c r="V63" s="22"/>
    </row>
    <row r="64" spans="1:22" ht="19.5" customHeight="1" x14ac:dyDescent="0.3">
      <c r="A64" s="3">
        <v>2016</v>
      </c>
      <c r="B64" s="4">
        <v>42370</v>
      </c>
      <c r="C64" s="3">
        <v>2000</v>
      </c>
      <c r="D64" s="10" t="s">
        <v>128</v>
      </c>
      <c r="E64" s="6">
        <v>288207</v>
      </c>
      <c r="F64" s="6">
        <v>1050578.93</v>
      </c>
      <c r="G64" s="6">
        <v>41139.93</v>
      </c>
      <c r="H64" s="3">
        <v>2900</v>
      </c>
      <c r="I64" s="10" t="s">
        <v>128</v>
      </c>
      <c r="J64" s="6">
        <v>288207</v>
      </c>
      <c r="K64" s="6">
        <v>1050578.93</v>
      </c>
      <c r="L64" s="6">
        <v>41139.93</v>
      </c>
      <c r="M64" s="19">
        <v>57</v>
      </c>
      <c r="N64" s="7" t="s">
        <v>237</v>
      </c>
      <c r="O64" s="20" t="s">
        <v>245</v>
      </c>
      <c r="P64" s="20" t="s">
        <v>245</v>
      </c>
      <c r="Q64" s="20" t="s">
        <v>245</v>
      </c>
      <c r="R64" s="21">
        <v>42470</v>
      </c>
      <c r="S64" s="22" t="s">
        <v>246</v>
      </c>
      <c r="T64" s="22">
        <v>2016</v>
      </c>
      <c r="U64" s="21">
        <v>42460</v>
      </c>
      <c r="V64" s="22"/>
    </row>
    <row r="65" spans="1:22" ht="19.5" customHeight="1" x14ac:dyDescent="0.3">
      <c r="A65" s="3">
        <v>2016</v>
      </c>
      <c r="B65" s="4">
        <v>42370</v>
      </c>
      <c r="C65" s="3">
        <v>2000</v>
      </c>
      <c r="D65" s="10" t="s">
        <v>129</v>
      </c>
      <c r="E65" s="6">
        <v>7400</v>
      </c>
      <c r="F65" s="6">
        <v>186965.5</v>
      </c>
      <c r="G65" s="6">
        <v>179042.34</v>
      </c>
      <c r="H65" s="3">
        <v>2900</v>
      </c>
      <c r="I65" s="10" t="s">
        <v>129</v>
      </c>
      <c r="J65" s="6">
        <v>7400</v>
      </c>
      <c r="K65" s="6">
        <v>186965.5</v>
      </c>
      <c r="L65" s="6">
        <v>179042.34</v>
      </c>
      <c r="M65" s="23">
        <v>58</v>
      </c>
      <c r="N65" s="7" t="s">
        <v>237</v>
      </c>
      <c r="O65" s="20" t="s">
        <v>245</v>
      </c>
      <c r="P65" s="20" t="s">
        <v>245</v>
      </c>
      <c r="Q65" s="20" t="s">
        <v>245</v>
      </c>
      <c r="R65" s="21">
        <v>42470</v>
      </c>
      <c r="S65" s="22" t="s">
        <v>246</v>
      </c>
      <c r="T65" s="22">
        <v>2016</v>
      </c>
      <c r="U65" s="21">
        <v>42460</v>
      </c>
      <c r="V65" s="22"/>
    </row>
    <row r="66" spans="1:22" ht="19.5" customHeight="1" x14ac:dyDescent="0.3">
      <c r="A66" s="3">
        <v>2016</v>
      </c>
      <c r="B66" s="4">
        <v>42370</v>
      </c>
      <c r="C66" s="3">
        <v>2000</v>
      </c>
      <c r="D66" s="10" t="s">
        <v>130</v>
      </c>
      <c r="E66" s="6">
        <v>19310</v>
      </c>
      <c r="F66" s="6">
        <v>77572.97</v>
      </c>
      <c r="G66" s="6">
        <v>0</v>
      </c>
      <c r="H66" s="3">
        <v>2900</v>
      </c>
      <c r="I66" s="10" t="s">
        <v>130</v>
      </c>
      <c r="J66" s="6">
        <v>19310</v>
      </c>
      <c r="K66" s="6">
        <v>77572.97</v>
      </c>
      <c r="L66" s="6">
        <v>0</v>
      </c>
      <c r="M66" s="19">
        <v>59</v>
      </c>
      <c r="N66" s="7" t="s">
        <v>237</v>
      </c>
      <c r="O66" s="20" t="s">
        <v>245</v>
      </c>
      <c r="P66" s="20" t="s">
        <v>245</v>
      </c>
      <c r="Q66" s="20" t="s">
        <v>245</v>
      </c>
      <c r="R66" s="21">
        <v>42470</v>
      </c>
      <c r="S66" s="22" t="s">
        <v>246</v>
      </c>
      <c r="T66" s="22">
        <v>2016</v>
      </c>
      <c r="U66" s="21">
        <v>42460</v>
      </c>
      <c r="V66" s="22"/>
    </row>
    <row r="67" spans="1:22" ht="19.5" customHeight="1" x14ac:dyDescent="0.3">
      <c r="A67" s="3">
        <v>2016</v>
      </c>
      <c r="B67" s="4">
        <v>42370</v>
      </c>
      <c r="C67" s="3">
        <v>2000</v>
      </c>
      <c r="D67" s="10" t="s">
        <v>131</v>
      </c>
      <c r="E67" s="6">
        <v>1805416.04</v>
      </c>
      <c r="F67" s="6">
        <v>3932377.78</v>
      </c>
      <c r="G67" s="6">
        <v>83194.350000000006</v>
      </c>
      <c r="H67" s="3">
        <v>2900</v>
      </c>
      <c r="I67" s="10" t="s">
        <v>131</v>
      </c>
      <c r="J67" s="6">
        <v>1805416.04</v>
      </c>
      <c r="K67" s="6">
        <v>3932377.78</v>
      </c>
      <c r="L67" s="6">
        <v>83194.350000000006</v>
      </c>
      <c r="M67" s="23">
        <v>60</v>
      </c>
      <c r="N67" s="7" t="s">
        <v>237</v>
      </c>
      <c r="O67" s="20" t="s">
        <v>245</v>
      </c>
      <c r="P67" s="20" t="s">
        <v>245</v>
      </c>
      <c r="Q67" s="20" t="s">
        <v>245</v>
      </c>
      <c r="R67" s="21">
        <v>42470</v>
      </c>
      <c r="S67" s="22" t="s">
        <v>246</v>
      </c>
      <c r="T67" s="22">
        <v>2016</v>
      </c>
      <c r="U67" s="21">
        <v>42460</v>
      </c>
      <c r="V67" s="22"/>
    </row>
    <row r="68" spans="1:22" ht="19.5" customHeight="1" x14ac:dyDescent="0.3">
      <c r="A68" s="3">
        <v>2016</v>
      </c>
      <c r="B68" s="4">
        <v>42370</v>
      </c>
      <c r="C68" s="3">
        <v>2000</v>
      </c>
      <c r="D68" s="7" t="s">
        <v>132</v>
      </c>
      <c r="E68" s="6">
        <v>0</v>
      </c>
      <c r="F68" s="6">
        <v>315.52</v>
      </c>
      <c r="G68" s="6">
        <v>315.52</v>
      </c>
      <c r="H68" s="3">
        <v>2900</v>
      </c>
      <c r="I68" s="7" t="s">
        <v>132</v>
      </c>
      <c r="J68" s="6">
        <v>0</v>
      </c>
      <c r="K68" s="6">
        <v>315.52</v>
      </c>
      <c r="L68" s="6">
        <v>315.52</v>
      </c>
      <c r="M68" s="19">
        <v>61</v>
      </c>
      <c r="N68" s="7" t="s">
        <v>237</v>
      </c>
      <c r="O68" s="20" t="s">
        <v>245</v>
      </c>
      <c r="P68" s="20" t="s">
        <v>245</v>
      </c>
      <c r="Q68" s="20" t="s">
        <v>245</v>
      </c>
      <c r="R68" s="21">
        <v>42470</v>
      </c>
      <c r="S68" s="22" t="s">
        <v>246</v>
      </c>
      <c r="T68" s="22">
        <v>2016</v>
      </c>
      <c r="U68" s="21">
        <v>42460</v>
      </c>
      <c r="V68" s="22"/>
    </row>
    <row r="69" spans="1:22" ht="19.5" customHeight="1" x14ac:dyDescent="0.3">
      <c r="A69" s="3">
        <v>2016</v>
      </c>
      <c r="B69" s="4">
        <v>42370</v>
      </c>
      <c r="C69" s="3">
        <v>2000</v>
      </c>
      <c r="D69" s="7" t="s">
        <v>133</v>
      </c>
      <c r="E69" s="6">
        <v>0</v>
      </c>
      <c r="F69" s="6">
        <v>7474.47</v>
      </c>
      <c r="G69" s="6">
        <v>0</v>
      </c>
      <c r="H69" s="3">
        <v>2900</v>
      </c>
      <c r="I69" s="7" t="s">
        <v>133</v>
      </c>
      <c r="J69" s="6">
        <v>0</v>
      </c>
      <c r="K69" s="6">
        <v>7474.47</v>
      </c>
      <c r="L69" s="6">
        <v>0</v>
      </c>
      <c r="M69" s="23">
        <v>62</v>
      </c>
      <c r="N69" s="7" t="s">
        <v>237</v>
      </c>
      <c r="O69" s="20" t="s">
        <v>245</v>
      </c>
      <c r="P69" s="20" t="s">
        <v>245</v>
      </c>
      <c r="Q69" s="20" t="s">
        <v>245</v>
      </c>
      <c r="R69" s="21">
        <v>42470</v>
      </c>
      <c r="S69" s="22" t="s">
        <v>246</v>
      </c>
      <c r="T69" s="22">
        <v>2016</v>
      </c>
      <c r="U69" s="21">
        <v>42460</v>
      </c>
      <c r="V69" s="22"/>
    </row>
    <row r="70" spans="1:22" ht="19.5" customHeight="1" x14ac:dyDescent="0.3">
      <c r="A70" s="3">
        <v>2016</v>
      </c>
      <c r="B70" s="4">
        <v>42370</v>
      </c>
      <c r="C70" s="3">
        <v>3000</v>
      </c>
      <c r="D70" s="7" t="s">
        <v>134</v>
      </c>
      <c r="E70" s="6">
        <v>24000</v>
      </c>
      <c r="F70" s="6">
        <v>0</v>
      </c>
      <c r="G70" s="6">
        <v>0</v>
      </c>
      <c r="H70" s="3">
        <v>3100</v>
      </c>
      <c r="I70" s="7" t="s">
        <v>134</v>
      </c>
      <c r="J70" s="6">
        <v>24000</v>
      </c>
      <c r="K70" s="6">
        <v>0</v>
      </c>
      <c r="L70" s="6">
        <v>0</v>
      </c>
      <c r="M70" s="19">
        <v>63</v>
      </c>
      <c r="N70" s="7" t="s">
        <v>238</v>
      </c>
      <c r="O70" s="20" t="s">
        <v>245</v>
      </c>
      <c r="P70" s="20" t="s">
        <v>245</v>
      </c>
      <c r="Q70" s="20" t="s">
        <v>245</v>
      </c>
      <c r="R70" s="21">
        <v>42470</v>
      </c>
      <c r="S70" s="22" t="s">
        <v>246</v>
      </c>
      <c r="T70" s="22">
        <v>2016</v>
      </c>
      <c r="U70" s="21">
        <v>42460</v>
      </c>
      <c r="V70" s="22"/>
    </row>
    <row r="71" spans="1:22" ht="19.5" customHeight="1" x14ac:dyDescent="0.3">
      <c r="A71" s="3">
        <v>2016</v>
      </c>
      <c r="B71" s="4">
        <v>42370</v>
      </c>
      <c r="C71" s="3">
        <v>3000</v>
      </c>
      <c r="D71" s="10" t="s">
        <v>135</v>
      </c>
      <c r="E71" s="6">
        <v>8750000.0399999991</v>
      </c>
      <c r="F71" s="6">
        <f>8750000.04+389928</f>
        <v>9139928.0399999991</v>
      </c>
      <c r="G71" s="6">
        <v>3919298.64</v>
      </c>
      <c r="H71" s="3">
        <v>3100</v>
      </c>
      <c r="I71" s="10" t="s">
        <v>135</v>
      </c>
      <c r="J71" s="6">
        <v>8750000.0399999991</v>
      </c>
      <c r="K71" s="6">
        <f>8750000.04+389928</f>
        <v>9139928.0399999991</v>
      </c>
      <c r="L71" s="6">
        <v>3919298.64</v>
      </c>
      <c r="M71" s="23">
        <v>64</v>
      </c>
      <c r="N71" s="7" t="s">
        <v>238</v>
      </c>
      <c r="O71" s="20" t="s">
        <v>245</v>
      </c>
      <c r="P71" s="20" t="s">
        <v>245</v>
      </c>
      <c r="Q71" s="20" t="s">
        <v>245</v>
      </c>
      <c r="R71" s="21">
        <v>42470</v>
      </c>
      <c r="S71" s="22" t="s">
        <v>246</v>
      </c>
      <c r="T71" s="22">
        <v>2016</v>
      </c>
      <c r="U71" s="21">
        <v>42460</v>
      </c>
      <c r="V71" s="22"/>
    </row>
    <row r="72" spans="1:22" ht="19.5" customHeight="1" x14ac:dyDescent="0.3">
      <c r="A72" s="3">
        <v>2016</v>
      </c>
      <c r="B72" s="4">
        <v>42370</v>
      </c>
      <c r="C72" s="3">
        <v>3000</v>
      </c>
      <c r="D72" s="10" t="s">
        <v>136</v>
      </c>
      <c r="E72" s="6">
        <v>3000000</v>
      </c>
      <c r="F72" s="6">
        <f>3000000+664659</f>
        <v>3664659</v>
      </c>
      <c r="G72" s="6">
        <v>1751188</v>
      </c>
      <c r="H72" s="3">
        <v>3100</v>
      </c>
      <c r="I72" s="10" t="s">
        <v>136</v>
      </c>
      <c r="J72" s="6">
        <v>3000000</v>
      </c>
      <c r="K72" s="6">
        <f>3000000+664659</f>
        <v>3664659</v>
      </c>
      <c r="L72" s="6">
        <v>1751188</v>
      </c>
      <c r="M72" s="19">
        <v>65</v>
      </c>
      <c r="N72" s="7" t="s">
        <v>238</v>
      </c>
      <c r="O72" s="20" t="s">
        <v>245</v>
      </c>
      <c r="P72" s="20" t="s">
        <v>245</v>
      </c>
      <c r="Q72" s="20" t="s">
        <v>245</v>
      </c>
      <c r="R72" s="21">
        <v>42470</v>
      </c>
      <c r="S72" s="22" t="s">
        <v>246</v>
      </c>
      <c r="T72" s="22">
        <v>2016</v>
      </c>
      <c r="U72" s="21">
        <v>42460</v>
      </c>
      <c r="V72" s="22"/>
    </row>
    <row r="73" spans="1:22" ht="19.5" customHeight="1" x14ac:dyDescent="0.3">
      <c r="A73" s="3">
        <v>2016</v>
      </c>
      <c r="B73" s="4">
        <v>42370</v>
      </c>
      <c r="C73" s="3">
        <v>3000</v>
      </c>
      <c r="D73" s="10" t="s">
        <v>137</v>
      </c>
      <c r="E73" s="6">
        <v>1060000</v>
      </c>
      <c r="F73" s="6">
        <f>1060000+72601.24</f>
        <v>1132601.24</v>
      </c>
      <c r="G73" s="6">
        <v>461150.31</v>
      </c>
      <c r="H73" s="3">
        <v>3100</v>
      </c>
      <c r="I73" s="10" t="s">
        <v>137</v>
      </c>
      <c r="J73" s="6">
        <v>1060000</v>
      </c>
      <c r="K73" s="6">
        <f>1060000+72601.24</f>
        <v>1132601.24</v>
      </c>
      <c r="L73" s="6">
        <v>461150.31</v>
      </c>
      <c r="M73" s="23">
        <v>66</v>
      </c>
      <c r="N73" s="7" t="s">
        <v>238</v>
      </c>
      <c r="O73" s="20" t="s">
        <v>245</v>
      </c>
      <c r="P73" s="20" t="s">
        <v>245</v>
      </c>
      <c r="Q73" s="20" t="s">
        <v>245</v>
      </c>
      <c r="R73" s="21">
        <v>42470</v>
      </c>
      <c r="S73" s="22" t="s">
        <v>246</v>
      </c>
      <c r="T73" s="22">
        <v>2016</v>
      </c>
      <c r="U73" s="21">
        <v>42460</v>
      </c>
      <c r="V73" s="22"/>
    </row>
    <row r="74" spans="1:22" ht="19.5" customHeight="1" x14ac:dyDescent="0.3">
      <c r="A74" s="3">
        <v>2016</v>
      </c>
      <c r="B74" s="4">
        <v>42370</v>
      </c>
      <c r="C74" s="3">
        <v>3000</v>
      </c>
      <c r="D74" s="10" t="s">
        <v>138</v>
      </c>
      <c r="E74" s="6">
        <v>250000</v>
      </c>
      <c r="F74" s="6">
        <f>250000+47828.76</f>
        <v>297828.76</v>
      </c>
      <c r="G74" s="6">
        <f>36019+47828.76</f>
        <v>83847.760000000009</v>
      </c>
      <c r="H74" s="3">
        <v>3100</v>
      </c>
      <c r="I74" s="10" t="s">
        <v>138</v>
      </c>
      <c r="J74" s="6">
        <v>250000</v>
      </c>
      <c r="K74" s="6">
        <f>250000+47828.76</f>
        <v>297828.76</v>
      </c>
      <c r="L74" s="6">
        <f>36019+47828.76</f>
        <v>83847.760000000009</v>
      </c>
      <c r="M74" s="19">
        <v>67</v>
      </c>
      <c r="N74" s="7" t="s">
        <v>238</v>
      </c>
      <c r="O74" s="20" t="s">
        <v>245</v>
      </c>
      <c r="P74" s="20" t="s">
        <v>245</v>
      </c>
      <c r="Q74" s="20" t="s">
        <v>245</v>
      </c>
      <c r="R74" s="21">
        <v>42470</v>
      </c>
      <c r="S74" s="22" t="s">
        <v>246</v>
      </c>
      <c r="T74" s="22">
        <v>2016</v>
      </c>
      <c r="U74" s="21">
        <v>42460</v>
      </c>
      <c r="V74" s="22"/>
    </row>
    <row r="75" spans="1:22" ht="19.5" customHeight="1" x14ac:dyDescent="0.3">
      <c r="A75" s="3">
        <v>2016</v>
      </c>
      <c r="B75" s="4">
        <v>42370</v>
      </c>
      <c r="C75" s="3">
        <v>3000</v>
      </c>
      <c r="D75" s="10" t="s">
        <v>139</v>
      </c>
      <c r="E75" s="6">
        <v>5394510.0099999998</v>
      </c>
      <c r="F75" s="6">
        <v>5951541.4299999997</v>
      </c>
      <c r="G75" s="6">
        <v>1954144.04</v>
      </c>
      <c r="H75" s="3">
        <v>3100</v>
      </c>
      <c r="I75" s="10" t="s">
        <v>139</v>
      </c>
      <c r="J75" s="6">
        <v>5394510.0099999998</v>
      </c>
      <c r="K75" s="6">
        <v>5951541.4299999997</v>
      </c>
      <c r="L75" s="6">
        <v>1954144.04</v>
      </c>
      <c r="M75" s="23">
        <v>68</v>
      </c>
      <c r="N75" s="7" t="s">
        <v>238</v>
      </c>
      <c r="O75" s="20" t="s">
        <v>245</v>
      </c>
      <c r="P75" s="20" t="s">
        <v>245</v>
      </c>
      <c r="Q75" s="20" t="s">
        <v>245</v>
      </c>
      <c r="R75" s="21">
        <v>42470</v>
      </c>
      <c r="S75" s="22" t="s">
        <v>246</v>
      </c>
      <c r="T75" s="22">
        <v>2016</v>
      </c>
      <c r="U75" s="21">
        <v>42460</v>
      </c>
      <c r="V75" s="22"/>
    </row>
    <row r="76" spans="1:22" ht="19.5" customHeight="1" x14ac:dyDescent="0.3">
      <c r="A76" s="3">
        <v>2016</v>
      </c>
      <c r="B76" s="4">
        <v>42370</v>
      </c>
      <c r="C76" s="3">
        <v>3000</v>
      </c>
      <c r="D76" s="10" t="s">
        <v>140</v>
      </c>
      <c r="E76" s="6">
        <v>92680</v>
      </c>
      <c r="F76" s="6">
        <v>92782.47</v>
      </c>
      <c r="G76" s="6">
        <v>8887.93</v>
      </c>
      <c r="H76" s="3">
        <v>3100</v>
      </c>
      <c r="I76" s="10" t="s">
        <v>140</v>
      </c>
      <c r="J76" s="6">
        <v>92680</v>
      </c>
      <c r="K76" s="6">
        <v>92782.47</v>
      </c>
      <c r="L76" s="6">
        <v>8887.93</v>
      </c>
      <c r="M76" s="19">
        <v>69</v>
      </c>
      <c r="N76" s="7" t="s">
        <v>238</v>
      </c>
      <c r="O76" s="20" t="s">
        <v>245</v>
      </c>
      <c r="P76" s="20" t="s">
        <v>245</v>
      </c>
      <c r="Q76" s="20" t="s">
        <v>245</v>
      </c>
      <c r="R76" s="21">
        <v>42470</v>
      </c>
      <c r="S76" s="22" t="s">
        <v>246</v>
      </c>
      <c r="T76" s="22">
        <v>2016</v>
      </c>
      <c r="U76" s="21">
        <v>42460</v>
      </c>
      <c r="V76" s="22"/>
    </row>
    <row r="77" spans="1:22" ht="19.5" customHeight="1" x14ac:dyDescent="0.3">
      <c r="A77" s="3">
        <v>2016</v>
      </c>
      <c r="B77" s="4">
        <v>42370</v>
      </c>
      <c r="C77" s="3">
        <v>3000</v>
      </c>
      <c r="D77" s="7" t="s">
        <v>141</v>
      </c>
      <c r="E77" s="6">
        <v>2095714</v>
      </c>
      <c r="F77" s="6">
        <v>2183642</v>
      </c>
      <c r="G77" s="6">
        <v>95642</v>
      </c>
      <c r="H77" s="3">
        <v>3100</v>
      </c>
      <c r="I77" s="7" t="s">
        <v>141</v>
      </c>
      <c r="J77" s="6">
        <v>2095714</v>
      </c>
      <c r="K77" s="6">
        <v>2183642</v>
      </c>
      <c r="L77" s="6">
        <v>95642</v>
      </c>
      <c r="M77" s="23">
        <v>70</v>
      </c>
      <c r="N77" s="7" t="s">
        <v>238</v>
      </c>
      <c r="O77" s="20" t="s">
        <v>245</v>
      </c>
      <c r="P77" s="20" t="s">
        <v>245</v>
      </c>
      <c r="Q77" s="20" t="s">
        <v>245</v>
      </c>
      <c r="R77" s="21">
        <v>42470</v>
      </c>
      <c r="S77" s="22" t="s">
        <v>246</v>
      </c>
      <c r="T77" s="22">
        <v>2016</v>
      </c>
      <c r="U77" s="21">
        <v>42460</v>
      </c>
      <c r="V77" s="22"/>
    </row>
    <row r="78" spans="1:22" ht="19.5" customHeight="1" x14ac:dyDescent="0.3">
      <c r="A78" s="3">
        <v>2016</v>
      </c>
      <c r="B78" s="4">
        <v>42370</v>
      </c>
      <c r="C78" s="3">
        <v>3000</v>
      </c>
      <c r="D78" s="10" t="s">
        <v>142</v>
      </c>
      <c r="E78" s="6">
        <v>9127399.8000000007</v>
      </c>
      <c r="F78" s="6">
        <v>9127399.8000000007</v>
      </c>
      <c r="G78" s="6">
        <v>4520236.08</v>
      </c>
      <c r="H78" s="3">
        <v>3200</v>
      </c>
      <c r="I78" s="10" t="s">
        <v>142</v>
      </c>
      <c r="J78" s="6">
        <v>9127399.8000000007</v>
      </c>
      <c r="K78" s="6">
        <v>9127399.8000000007</v>
      </c>
      <c r="L78" s="6">
        <v>4520236.08</v>
      </c>
      <c r="M78" s="19">
        <v>71</v>
      </c>
      <c r="N78" s="7" t="s">
        <v>238</v>
      </c>
      <c r="O78" s="20" t="s">
        <v>245</v>
      </c>
      <c r="P78" s="20" t="s">
        <v>245</v>
      </c>
      <c r="Q78" s="20" t="s">
        <v>245</v>
      </c>
      <c r="R78" s="21">
        <v>42470</v>
      </c>
      <c r="S78" s="22" t="s">
        <v>246</v>
      </c>
      <c r="T78" s="22">
        <v>2016</v>
      </c>
      <c r="U78" s="21">
        <v>42460</v>
      </c>
      <c r="V78" s="22"/>
    </row>
    <row r="79" spans="1:22" ht="19.5" customHeight="1" x14ac:dyDescent="0.3">
      <c r="A79" s="3">
        <v>2016</v>
      </c>
      <c r="B79" s="4">
        <v>42370</v>
      </c>
      <c r="C79" s="3">
        <v>3000</v>
      </c>
      <c r="D79" s="10" t="s">
        <v>143</v>
      </c>
      <c r="E79" s="6">
        <v>116000</v>
      </c>
      <c r="F79" s="6">
        <v>139896</v>
      </c>
      <c r="G79" s="6">
        <v>23896</v>
      </c>
      <c r="H79" s="3">
        <v>3200</v>
      </c>
      <c r="I79" s="10" t="s">
        <v>143</v>
      </c>
      <c r="J79" s="6">
        <v>116000</v>
      </c>
      <c r="K79" s="6">
        <v>139896</v>
      </c>
      <c r="L79" s="6">
        <v>23896</v>
      </c>
      <c r="M79" s="23">
        <v>72</v>
      </c>
      <c r="N79" s="7" t="s">
        <v>238</v>
      </c>
      <c r="O79" s="20" t="s">
        <v>245</v>
      </c>
      <c r="P79" s="20" t="s">
        <v>245</v>
      </c>
      <c r="Q79" s="20" t="s">
        <v>245</v>
      </c>
      <c r="R79" s="21">
        <v>42470</v>
      </c>
      <c r="S79" s="22" t="s">
        <v>246</v>
      </c>
      <c r="T79" s="22">
        <v>2016</v>
      </c>
      <c r="U79" s="21">
        <v>42460</v>
      </c>
      <c r="V79" s="22"/>
    </row>
    <row r="80" spans="1:22" ht="19.5" customHeight="1" x14ac:dyDescent="0.3">
      <c r="A80" s="3">
        <v>2016</v>
      </c>
      <c r="B80" s="4">
        <v>42370</v>
      </c>
      <c r="C80" s="3">
        <v>3000</v>
      </c>
      <c r="D80" s="7" t="s">
        <v>144</v>
      </c>
      <c r="E80" s="6">
        <v>15000</v>
      </c>
      <c r="F80" s="6">
        <v>15000</v>
      </c>
      <c r="G80" s="6">
        <v>0</v>
      </c>
      <c r="H80" s="3">
        <v>3200</v>
      </c>
      <c r="I80" s="7" t="s">
        <v>144</v>
      </c>
      <c r="J80" s="6">
        <v>15000</v>
      </c>
      <c r="K80" s="6">
        <v>15000</v>
      </c>
      <c r="L80" s="6">
        <v>0</v>
      </c>
      <c r="M80" s="19">
        <v>73</v>
      </c>
      <c r="N80" s="7" t="s">
        <v>238</v>
      </c>
      <c r="O80" s="20" t="s">
        <v>245</v>
      </c>
      <c r="P80" s="20" t="s">
        <v>245</v>
      </c>
      <c r="Q80" s="20" t="s">
        <v>245</v>
      </c>
      <c r="R80" s="21">
        <v>42470</v>
      </c>
      <c r="S80" s="22" t="s">
        <v>246</v>
      </c>
      <c r="T80" s="22">
        <v>2016</v>
      </c>
      <c r="U80" s="21">
        <v>42460</v>
      </c>
      <c r="V80" s="22"/>
    </row>
    <row r="81" spans="1:22" ht="19.5" customHeight="1" x14ac:dyDescent="0.3">
      <c r="A81" s="3">
        <v>2016</v>
      </c>
      <c r="B81" s="4">
        <v>42370</v>
      </c>
      <c r="C81" s="3">
        <v>3000</v>
      </c>
      <c r="D81" s="10" t="s">
        <v>145</v>
      </c>
      <c r="E81" s="6">
        <v>1135065</v>
      </c>
      <c r="F81" s="6">
        <v>1162946.1299999999</v>
      </c>
      <c r="G81" s="6">
        <v>440265.95</v>
      </c>
      <c r="H81" s="3">
        <v>3200</v>
      </c>
      <c r="I81" s="10" t="s">
        <v>145</v>
      </c>
      <c r="J81" s="6">
        <v>1135065</v>
      </c>
      <c r="K81" s="6">
        <v>1162946.1299999999</v>
      </c>
      <c r="L81" s="6">
        <v>440265.95</v>
      </c>
      <c r="M81" s="23">
        <v>74</v>
      </c>
      <c r="N81" s="7" t="s">
        <v>238</v>
      </c>
      <c r="O81" s="20" t="s">
        <v>245</v>
      </c>
      <c r="P81" s="20" t="s">
        <v>245</v>
      </c>
      <c r="Q81" s="20" t="s">
        <v>245</v>
      </c>
      <c r="R81" s="21">
        <v>42470</v>
      </c>
      <c r="S81" s="22" t="s">
        <v>246</v>
      </c>
      <c r="T81" s="22">
        <v>2016</v>
      </c>
      <c r="U81" s="21">
        <v>42460</v>
      </c>
      <c r="V81" s="22"/>
    </row>
    <row r="82" spans="1:22" ht="19.5" customHeight="1" x14ac:dyDescent="0.3">
      <c r="A82" s="3">
        <v>2016</v>
      </c>
      <c r="B82" s="4">
        <v>42370</v>
      </c>
      <c r="C82" s="3">
        <v>3000</v>
      </c>
      <c r="D82" s="10" t="s">
        <v>146</v>
      </c>
      <c r="E82" s="6">
        <v>41000</v>
      </c>
      <c r="F82" s="6">
        <v>35600</v>
      </c>
      <c r="G82" s="6">
        <v>0</v>
      </c>
      <c r="H82" s="3">
        <v>3200</v>
      </c>
      <c r="I82" s="10" t="s">
        <v>146</v>
      </c>
      <c r="J82" s="6">
        <v>41000</v>
      </c>
      <c r="K82" s="6">
        <v>35600</v>
      </c>
      <c r="L82" s="6">
        <v>0</v>
      </c>
      <c r="M82" s="19">
        <v>75</v>
      </c>
      <c r="N82" s="7" t="s">
        <v>238</v>
      </c>
      <c r="O82" s="20" t="s">
        <v>245</v>
      </c>
      <c r="P82" s="20" t="s">
        <v>245</v>
      </c>
      <c r="Q82" s="20" t="s">
        <v>245</v>
      </c>
      <c r="R82" s="21">
        <v>42470</v>
      </c>
      <c r="S82" s="22" t="s">
        <v>246</v>
      </c>
      <c r="T82" s="22">
        <v>2016</v>
      </c>
      <c r="U82" s="21">
        <v>42460</v>
      </c>
      <c r="V82" s="22"/>
    </row>
    <row r="83" spans="1:22" ht="19.5" customHeight="1" x14ac:dyDescent="0.3">
      <c r="A83" s="3">
        <v>2016</v>
      </c>
      <c r="B83" s="4">
        <v>42370</v>
      </c>
      <c r="C83" s="3">
        <v>3000</v>
      </c>
      <c r="D83" s="10" t="s">
        <v>147</v>
      </c>
      <c r="E83" s="6">
        <v>7485000</v>
      </c>
      <c r="F83" s="6">
        <v>14075914</v>
      </c>
      <c r="G83" s="6">
        <v>344525.99</v>
      </c>
      <c r="H83" s="3">
        <v>3300</v>
      </c>
      <c r="I83" s="10" t="s">
        <v>147</v>
      </c>
      <c r="J83" s="6">
        <v>7485000</v>
      </c>
      <c r="K83" s="6">
        <v>14075914</v>
      </c>
      <c r="L83" s="6">
        <v>344525.99</v>
      </c>
      <c r="M83" s="23">
        <v>76</v>
      </c>
      <c r="N83" s="7" t="s">
        <v>238</v>
      </c>
      <c r="O83" s="20" t="s">
        <v>245</v>
      </c>
      <c r="P83" s="20" t="s">
        <v>245</v>
      </c>
      <c r="Q83" s="20" t="s">
        <v>245</v>
      </c>
      <c r="R83" s="21">
        <v>42470</v>
      </c>
      <c r="S83" s="22" t="s">
        <v>246</v>
      </c>
      <c r="T83" s="22">
        <v>2016</v>
      </c>
      <c r="U83" s="21">
        <v>42460</v>
      </c>
      <c r="V83" s="22"/>
    </row>
    <row r="84" spans="1:22" ht="19.5" customHeight="1" x14ac:dyDescent="0.3">
      <c r="A84" s="3">
        <v>2016</v>
      </c>
      <c r="B84" s="4">
        <v>42370</v>
      </c>
      <c r="C84" s="3">
        <v>3000</v>
      </c>
      <c r="D84" s="7" t="s">
        <v>148</v>
      </c>
      <c r="E84" s="6">
        <v>4500</v>
      </c>
      <c r="F84" s="6">
        <v>19801761.530000001</v>
      </c>
      <c r="G84" s="6">
        <v>1419838.29</v>
      </c>
      <c r="H84" s="3">
        <v>3300</v>
      </c>
      <c r="I84" s="7" t="s">
        <v>148</v>
      </c>
      <c r="J84" s="6">
        <v>4500</v>
      </c>
      <c r="K84" s="6">
        <v>19801761.530000001</v>
      </c>
      <c r="L84" s="6">
        <v>1419838.29</v>
      </c>
      <c r="M84" s="19">
        <v>77</v>
      </c>
      <c r="N84" s="7" t="s">
        <v>238</v>
      </c>
      <c r="O84" s="20" t="s">
        <v>245</v>
      </c>
      <c r="P84" s="20" t="s">
        <v>245</v>
      </c>
      <c r="Q84" s="20" t="s">
        <v>245</v>
      </c>
      <c r="R84" s="21">
        <v>42470</v>
      </c>
      <c r="S84" s="22" t="s">
        <v>246</v>
      </c>
      <c r="T84" s="22">
        <v>2016</v>
      </c>
      <c r="U84" s="21">
        <v>42460</v>
      </c>
      <c r="V84" s="22"/>
    </row>
    <row r="85" spans="1:22" ht="19.5" customHeight="1" x14ac:dyDescent="0.3">
      <c r="A85" s="3">
        <v>2016</v>
      </c>
      <c r="B85" s="4">
        <v>42370</v>
      </c>
      <c r="C85" s="3">
        <v>3000</v>
      </c>
      <c r="D85" s="10" t="s">
        <v>149</v>
      </c>
      <c r="E85" s="6">
        <v>2133390</v>
      </c>
      <c r="F85" s="6">
        <v>2619390</v>
      </c>
      <c r="G85" s="6">
        <v>928827.28</v>
      </c>
      <c r="H85" s="3">
        <v>3300</v>
      </c>
      <c r="I85" s="10" t="s">
        <v>149</v>
      </c>
      <c r="J85" s="6">
        <v>2133390</v>
      </c>
      <c r="K85" s="6">
        <v>2619390</v>
      </c>
      <c r="L85" s="6">
        <v>928827.28</v>
      </c>
      <c r="M85" s="23">
        <v>78</v>
      </c>
      <c r="N85" s="7" t="s">
        <v>238</v>
      </c>
      <c r="O85" s="20" t="s">
        <v>245</v>
      </c>
      <c r="P85" s="20" t="s">
        <v>245</v>
      </c>
      <c r="Q85" s="20" t="s">
        <v>245</v>
      </c>
      <c r="R85" s="21">
        <v>42470</v>
      </c>
      <c r="S85" s="22" t="s">
        <v>246</v>
      </c>
      <c r="T85" s="22">
        <v>2016</v>
      </c>
      <c r="U85" s="21">
        <v>42460</v>
      </c>
      <c r="V85" s="22"/>
    </row>
    <row r="86" spans="1:22" ht="19.5" customHeight="1" x14ac:dyDescent="0.3">
      <c r="A86" s="3">
        <v>2016</v>
      </c>
      <c r="B86" s="4">
        <v>42370</v>
      </c>
      <c r="C86" s="3">
        <v>3000</v>
      </c>
      <c r="D86" s="10" t="s">
        <v>150</v>
      </c>
      <c r="E86" s="6">
        <v>429134</v>
      </c>
      <c r="F86" s="6">
        <v>443036.6</v>
      </c>
      <c r="G86" s="6">
        <v>10944.6</v>
      </c>
      <c r="H86" s="3">
        <v>3300</v>
      </c>
      <c r="I86" s="10" t="s">
        <v>150</v>
      </c>
      <c r="J86" s="6">
        <v>429134</v>
      </c>
      <c r="K86" s="6">
        <v>443036.6</v>
      </c>
      <c r="L86" s="6">
        <v>10944.6</v>
      </c>
      <c r="M86" s="19">
        <v>79</v>
      </c>
      <c r="N86" s="7" t="s">
        <v>238</v>
      </c>
      <c r="O86" s="20" t="s">
        <v>245</v>
      </c>
      <c r="P86" s="20" t="s">
        <v>245</v>
      </c>
      <c r="Q86" s="20" t="s">
        <v>245</v>
      </c>
      <c r="R86" s="21">
        <v>42470</v>
      </c>
      <c r="S86" s="22" t="s">
        <v>246</v>
      </c>
      <c r="T86" s="22">
        <v>2016</v>
      </c>
      <c r="U86" s="21">
        <v>42460</v>
      </c>
      <c r="V86" s="22"/>
    </row>
    <row r="87" spans="1:22" ht="19.5" customHeight="1" x14ac:dyDescent="0.3">
      <c r="A87" s="3">
        <v>2016</v>
      </c>
      <c r="B87" s="4">
        <v>42370</v>
      </c>
      <c r="C87" s="3">
        <v>3000</v>
      </c>
      <c r="D87" s="10" t="s">
        <v>151</v>
      </c>
      <c r="E87" s="6">
        <v>3680970</v>
      </c>
      <c r="F87" s="6">
        <v>2803970</v>
      </c>
      <c r="G87" s="6">
        <v>0</v>
      </c>
      <c r="H87" s="3">
        <v>3300</v>
      </c>
      <c r="I87" s="10" t="s">
        <v>151</v>
      </c>
      <c r="J87" s="6">
        <v>3680970</v>
      </c>
      <c r="K87" s="6">
        <v>2803970</v>
      </c>
      <c r="L87" s="6">
        <v>0</v>
      </c>
      <c r="M87" s="23">
        <v>80</v>
      </c>
      <c r="N87" s="7" t="s">
        <v>238</v>
      </c>
      <c r="O87" s="20" t="s">
        <v>245</v>
      </c>
      <c r="P87" s="20" t="s">
        <v>245</v>
      </c>
      <c r="Q87" s="20" t="s">
        <v>245</v>
      </c>
      <c r="R87" s="21">
        <v>42470</v>
      </c>
      <c r="S87" s="22" t="s">
        <v>246</v>
      </c>
      <c r="T87" s="22">
        <v>2016</v>
      </c>
      <c r="U87" s="21">
        <v>42460</v>
      </c>
      <c r="V87" s="22"/>
    </row>
    <row r="88" spans="1:22" ht="19.5" customHeight="1" x14ac:dyDescent="0.3">
      <c r="A88" s="3">
        <v>2016</v>
      </c>
      <c r="B88" s="4">
        <v>42370</v>
      </c>
      <c r="C88" s="3">
        <v>3000</v>
      </c>
      <c r="D88" s="10" t="s">
        <v>152</v>
      </c>
      <c r="E88" s="6">
        <v>915767.8</v>
      </c>
      <c r="F88" s="6">
        <v>970021.31</v>
      </c>
      <c r="G88" s="6">
        <v>324862.90000000002</v>
      </c>
      <c r="H88" s="3">
        <v>3300</v>
      </c>
      <c r="I88" s="10" t="s">
        <v>152</v>
      </c>
      <c r="J88" s="6">
        <v>915767.8</v>
      </c>
      <c r="K88" s="6">
        <v>970021.31</v>
      </c>
      <c r="L88" s="6">
        <v>324862.90000000002</v>
      </c>
      <c r="M88" s="19">
        <v>81</v>
      </c>
      <c r="N88" s="7" t="s">
        <v>238</v>
      </c>
      <c r="O88" s="20" t="s">
        <v>245</v>
      </c>
      <c r="P88" s="20" t="s">
        <v>245</v>
      </c>
      <c r="Q88" s="20" t="s">
        <v>245</v>
      </c>
      <c r="R88" s="21">
        <v>42470</v>
      </c>
      <c r="S88" s="22" t="s">
        <v>246</v>
      </c>
      <c r="T88" s="22">
        <v>2016</v>
      </c>
      <c r="U88" s="21">
        <v>42460</v>
      </c>
      <c r="V88" s="22"/>
    </row>
    <row r="89" spans="1:22" ht="19.5" customHeight="1" x14ac:dyDescent="0.3">
      <c r="A89" s="3">
        <v>2016</v>
      </c>
      <c r="B89" s="4">
        <v>42370</v>
      </c>
      <c r="C89" s="3">
        <v>3000</v>
      </c>
      <c r="D89" s="10" t="s">
        <v>153</v>
      </c>
      <c r="E89" s="6">
        <v>562620</v>
      </c>
      <c r="F89" s="6">
        <v>1447494.13</v>
      </c>
      <c r="G89" s="6">
        <v>260708.36</v>
      </c>
      <c r="H89" s="3">
        <v>3300</v>
      </c>
      <c r="I89" s="10" t="s">
        <v>153</v>
      </c>
      <c r="J89" s="6">
        <v>562620</v>
      </c>
      <c r="K89" s="6">
        <v>1447494.13</v>
      </c>
      <c r="L89" s="6">
        <v>260708.36</v>
      </c>
      <c r="M89" s="23">
        <v>82</v>
      </c>
      <c r="N89" s="7" t="s">
        <v>238</v>
      </c>
      <c r="O89" s="20" t="s">
        <v>245</v>
      </c>
      <c r="P89" s="20" t="s">
        <v>245</v>
      </c>
      <c r="Q89" s="20" t="s">
        <v>245</v>
      </c>
      <c r="R89" s="21">
        <v>42470</v>
      </c>
      <c r="S89" s="22" t="s">
        <v>246</v>
      </c>
      <c r="T89" s="22">
        <v>2016</v>
      </c>
      <c r="U89" s="21">
        <v>42460</v>
      </c>
      <c r="V89" s="22"/>
    </row>
    <row r="90" spans="1:22" ht="19.5" customHeight="1" x14ac:dyDescent="0.3">
      <c r="A90" s="3">
        <v>2016</v>
      </c>
      <c r="B90" s="4">
        <v>42370</v>
      </c>
      <c r="C90" s="3">
        <v>3000</v>
      </c>
      <c r="D90" s="10" t="s">
        <v>154</v>
      </c>
      <c r="E90" s="6">
        <v>25024141.940000001</v>
      </c>
      <c r="F90" s="6">
        <v>31621860.890000001</v>
      </c>
      <c r="G90" s="6">
        <v>15115897.699999999</v>
      </c>
      <c r="H90" s="3">
        <v>3300</v>
      </c>
      <c r="I90" s="10" t="s">
        <v>154</v>
      </c>
      <c r="J90" s="6">
        <v>25024141.940000001</v>
      </c>
      <c r="K90" s="6">
        <v>31621860.890000001</v>
      </c>
      <c r="L90" s="6">
        <v>15115897.699999999</v>
      </c>
      <c r="M90" s="19">
        <v>83</v>
      </c>
      <c r="N90" s="7" t="s">
        <v>238</v>
      </c>
      <c r="O90" s="20" t="s">
        <v>245</v>
      </c>
      <c r="P90" s="20" t="s">
        <v>245</v>
      </c>
      <c r="Q90" s="20" t="s">
        <v>245</v>
      </c>
      <c r="R90" s="21">
        <v>42470</v>
      </c>
      <c r="S90" s="22" t="s">
        <v>246</v>
      </c>
      <c r="T90" s="22">
        <v>2016</v>
      </c>
      <c r="U90" s="21">
        <v>42460</v>
      </c>
      <c r="V90" s="22"/>
    </row>
    <row r="91" spans="1:22" ht="19.5" customHeight="1" x14ac:dyDescent="0.3">
      <c r="A91" s="3">
        <v>2016</v>
      </c>
      <c r="B91" s="4">
        <v>42370</v>
      </c>
      <c r="C91" s="3">
        <v>3000</v>
      </c>
      <c r="D91" s="10" t="s">
        <v>155</v>
      </c>
      <c r="E91" s="6">
        <v>2141791.66</v>
      </c>
      <c r="F91" s="6">
        <v>2445776.86</v>
      </c>
      <c r="G91" s="6">
        <v>320705.2</v>
      </c>
      <c r="H91" s="3">
        <v>3300</v>
      </c>
      <c r="I91" s="10" t="s">
        <v>155</v>
      </c>
      <c r="J91" s="6">
        <v>2141791.66</v>
      </c>
      <c r="K91" s="6">
        <v>2445776.86</v>
      </c>
      <c r="L91" s="6">
        <v>320705.2</v>
      </c>
      <c r="M91" s="23">
        <v>84</v>
      </c>
      <c r="N91" s="7" t="s">
        <v>238</v>
      </c>
      <c r="O91" s="20" t="s">
        <v>245</v>
      </c>
      <c r="P91" s="20" t="s">
        <v>245</v>
      </c>
      <c r="Q91" s="20" t="s">
        <v>245</v>
      </c>
      <c r="R91" s="21">
        <v>42470</v>
      </c>
      <c r="S91" s="22" t="s">
        <v>246</v>
      </c>
      <c r="T91" s="22">
        <v>2016</v>
      </c>
      <c r="U91" s="21">
        <v>42460</v>
      </c>
      <c r="V91" s="22"/>
    </row>
    <row r="92" spans="1:22" ht="19.5" customHeight="1" x14ac:dyDescent="0.3">
      <c r="A92" s="3">
        <v>2016</v>
      </c>
      <c r="B92" s="4">
        <v>42370</v>
      </c>
      <c r="C92" s="3">
        <v>3000</v>
      </c>
      <c r="D92" s="7" t="s">
        <v>156</v>
      </c>
      <c r="E92" s="6">
        <v>15000</v>
      </c>
      <c r="F92" s="6">
        <v>15000</v>
      </c>
      <c r="G92" s="6">
        <v>0</v>
      </c>
      <c r="H92" s="3">
        <v>3400</v>
      </c>
      <c r="I92" s="7" t="s">
        <v>156</v>
      </c>
      <c r="J92" s="6">
        <v>15000</v>
      </c>
      <c r="K92" s="6">
        <v>15000</v>
      </c>
      <c r="L92" s="6">
        <v>0</v>
      </c>
      <c r="M92" s="19">
        <v>85</v>
      </c>
      <c r="N92" s="7" t="s">
        <v>238</v>
      </c>
      <c r="O92" s="20" t="s">
        <v>245</v>
      </c>
      <c r="P92" s="20" t="s">
        <v>245</v>
      </c>
      <c r="Q92" s="20" t="s">
        <v>245</v>
      </c>
      <c r="R92" s="21">
        <v>42470</v>
      </c>
      <c r="S92" s="22" t="s">
        <v>246</v>
      </c>
      <c r="T92" s="22">
        <v>2016</v>
      </c>
      <c r="U92" s="21">
        <v>42460</v>
      </c>
      <c r="V92" s="22"/>
    </row>
    <row r="93" spans="1:22" ht="19.5" customHeight="1" x14ac:dyDescent="0.3">
      <c r="A93" s="3">
        <v>2016</v>
      </c>
      <c r="B93" s="4">
        <v>42370</v>
      </c>
      <c r="C93" s="3">
        <v>3000</v>
      </c>
      <c r="D93" s="10" t="s">
        <v>157</v>
      </c>
      <c r="E93" s="6">
        <v>2502790</v>
      </c>
      <c r="F93" s="6">
        <v>2155580</v>
      </c>
      <c r="G93" s="6">
        <v>96857.18</v>
      </c>
      <c r="H93" s="3">
        <v>3400</v>
      </c>
      <c r="I93" s="10" t="s">
        <v>157</v>
      </c>
      <c r="J93" s="6">
        <v>2502790</v>
      </c>
      <c r="K93" s="6">
        <v>2155580</v>
      </c>
      <c r="L93" s="6">
        <v>96857.18</v>
      </c>
      <c r="M93" s="23">
        <v>86</v>
      </c>
      <c r="N93" s="7" t="s">
        <v>238</v>
      </c>
      <c r="O93" s="20" t="s">
        <v>245</v>
      </c>
      <c r="P93" s="20" t="s">
        <v>245</v>
      </c>
      <c r="Q93" s="20" t="s">
        <v>245</v>
      </c>
      <c r="R93" s="21">
        <v>42470</v>
      </c>
      <c r="S93" s="22" t="s">
        <v>246</v>
      </c>
      <c r="T93" s="22">
        <v>2016</v>
      </c>
      <c r="U93" s="21">
        <v>42460</v>
      </c>
      <c r="V93" s="22"/>
    </row>
    <row r="94" spans="1:22" ht="19.5" customHeight="1" x14ac:dyDescent="0.3">
      <c r="A94" s="3">
        <v>2016</v>
      </c>
      <c r="B94" s="4">
        <v>42370</v>
      </c>
      <c r="C94" s="3">
        <v>3000</v>
      </c>
      <c r="D94" s="10" t="s">
        <v>158</v>
      </c>
      <c r="E94" s="6">
        <v>0</v>
      </c>
      <c r="F94" s="11">
        <v>85000</v>
      </c>
      <c r="G94" s="6">
        <v>0</v>
      </c>
      <c r="H94" s="3">
        <v>3400</v>
      </c>
      <c r="I94" s="10" t="s">
        <v>158</v>
      </c>
      <c r="J94" s="6">
        <v>0</v>
      </c>
      <c r="K94" s="11">
        <v>85000</v>
      </c>
      <c r="L94" s="6">
        <v>0</v>
      </c>
      <c r="M94" s="19">
        <v>87</v>
      </c>
      <c r="N94" s="7" t="s">
        <v>238</v>
      </c>
      <c r="O94" s="20" t="s">
        <v>245</v>
      </c>
      <c r="P94" s="20" t="s">
        <v>245</v>
      </c>
      <c r="Q94" s="20" t="s">
        <v>245</v>
      </c>
      <c r="R94" s="21">
        <v>42470</v>
      </c>
      <c r="S94" s="22" t="s">
        <v>246</v>
      </c>
      <c r="T94" s="22">
        <v>2016</v>
      </c>
      <c r="U94" s="21">
        <v>42460</v>
      </c>
      <c r="V94" s="22"/>
    </row>
    <row r="95" spans="1:22" ht="19.5" customHeight="1" x14ac:dyDescent="0.3">
      <c r="A95" s="3">
        <v>2016</v>
      </c>
      <c r="B95" s="4">
        <v>42370</v>
      </c>
      <c r="C95" s="3">
        <v>3000</v>
      </c>
      <c r="D95" s="10" t="s">
        <v>159</v>
      </c>
      <c r="E95" s="6">
        <v>155500</v>
      </c>
      <c r="F95" s="6">
        <v>22000</v>
      </c>
      <c r="G95" s="6">
        <v>0</v>
      </c>
      <c r="H95" s="3">
        <v>3400</v>
      </c>
      <c r="I95" s="10" t="s">
        <v>159</v>
      </c>
      <c r="J95" s="6">
        <v>155500</v>
      </c>
      <c r="K95" s="6">
        <v>22000</v>
      </c>
      <c r="L95" s="6">
        <v>0</v>
      </c>
      <c r="M95" s="23">
        <v>88</v>
      </c>
      <c r="N95" s="7" t="s">
        <v>238</v>
      </c>
      <c r="O95" s="20" t="s">
        <v>245</v>
      </c>
      <c r="P95" s="20" t="s">
        <v>245</v>
      </c>
      <c r="Q95" s="20" t="s">
        <v>245</v>
      </c>
      <c r="R95" s="21">
        <v>42470</v>
      </c>
      <c r="S95" s="22" t="s">
        <v>246</v>
      </c>
      <c r="T95" s="22">
        <v>2016</v>
      </c>
      <c r="U95" s="21">
        <v>42460</v>
      </c>
      <c r="V95" s="22"/>
    </row>
    <row r="96" spans="1:22" ht="19.5" customHeight="1" x14ac:dyDescent="0.3">
      <c r="A96" s="3">
        <v>2016</v>
      </c>
      <c r="B96" s="4">
        <v>42370</v>
      </c>
      <c r="C96" s="3">
        <v>3000</v>
      </c>
      <c r="D96" s="10" t="s">
        <v>160</v>
      </c>
      <c r="E96" s="6">
        <v>0</v>
      </c>
      <c r="F96" s="6">
        <v>94050</v>
      </c>
      <c r="G96" s="6">
        <v>0</v>
      </c>
      <c r="H96" s="3">
        <v>3500</v>
      </c>
      <c r="I96" s="10" t="s">
        <v>160</v>
      </c>
      <c r="J96" s="6">
        <v>0</v>
      </c>
      <c r="K96" s="6">
        <v>94050</v>
      </c>
      <c r="L96" s="6">
        <v>0</v>
      </c>
      <c r="M96" s="19">
        <v>89</v>
      </c>
      <c r="N96" s="7" t="s">
        <v>238</v>
      </c>
      <c r="O96" s="20" t="s">
        <v>245</v>
      </c>
      <c r="P96" s="20" t="s">
        <v>245</v>
      </c>
      <c r="Q96" s="20" t="s">
        <v>245</v>
      </c>
      <c r="R96" s="21">
        <v>42470</v>
      </c>
      <c r="S96" s="22" t="s">
        <v>246</v>
      </c>
      <c r="T96" s="22">
        <v>2016</v>
      </c>
      <c r="U96" s="21">
        <v>42460</v>
      </c>
      <c r="V96" s="22"/>
    </row>
    <row r="97" spans="1:22" ht="19.5" customHeight="1" x14ac:dyDescent="0.3">
      <c r="A97" s="3">
        <v>2016</v>
      </c>
      <c r="B97" s="4">
        <v>42370</v>
      </c>
      <c r="C97" s="3">
        <v>3000</v>
      </c>
      <c r="D97" s="10" t="s">
        <v>161</v>
      </c>
      <c r="E97" s="6">
        <v>141149</v>
      </c>
      <c r="F97" s="6">
        <v>131869</v>
      </c>
      <c r="G97" s="6">
        <v>1044</v>
      </c>
      <c r="H97" s="3">
        <v>3500</v>
      </c>
      <c r="I97" s="10" t="s">
        <v>161</v>
      </c>
      <c r="J97" s="6">
        <v>141149</v>
      </c>
      <c r="K97" s="6">
        <v>131869</v>
      </c>
      <c r="L97" s="6">
        <v>1044</v>
      </c>
      <c r="M97" s="23">
        <v>90</v>
      </c>
      <c r="N97" s="7" t="s">
        <v>238</v>
      </c>
      <c r="O97" s="20" t="s">
        <v>245</v>
      </c>
      <c r="P97" s="20" t="s">
        <v>245</v>
      </c>
      <c r="Q97" s="20" t="s">
        <v>245</v>
      </c>
      <c r="R97" s="21">
        <v>42470</v>
      </c>
      <c r="S97" s="22" t="s">
        <v>246</v>
      </c>
      <c r="T97" s="22">
        <v>2016</v>
      </c>
      <c r="U97" s="21">
        <v>42460</v>
      </c>
      <c r="V97" s="22"/>
    </row>
    <row r="98" spans="1:22" ht="19.5" customHeight="1" x14ac:dyDescent="0.3">
      <c r="A98" s="3">
        <v>2016</v>
      </c>
      <c r="B98" s="4">
        <v>42370</v>
      </c>
      <c r="C98" s="3">
        <v>3000</v>
      </c>
      <c r="D98" s="10" t="s">
        <v>162</v>
      </c>
      <c r="E98" s="6">
        <v>6090579.7999999998</v>
      </c>
      <c r="F98" s="6">
        <v>5249989.4800000004</v>
      </c>
      <c r="G98" s="6">
        <v>44344</v>
      </c>
      <c r="H98" s="3">
        <v>3500</v>
      </c>
      <c r="I98" s="10" t="s">
        <v>162</v>
      </c>
      <c r="J98" s="6">
        <v>6090579.7999999998</v>
      </c>
      <c r="K98" s="6">
        <v>5249989.4800000004</v>
      </c>
      <c r="L98" s="6">
        <v>44344</v>
      </c>
      <c r="M98" s="19">
        <v>91</v>
      </c>
      <c r="N98" s="7" t="s">
        <v>238</v>
      </c>
      <c r="O98" s="20" t="s">
        <v>245</v>
      </c>
      <c r="P98" s="20" t="s">
        <v>245</v>
      </c>
      <c r="Q98" s="20" t="s">
        <v>245</v>
      </c>
      <c r="R98" s="21">
        <v>42470</v>
      </c>
      <c r="S98" s="22" t="s">
        <v>246</v>
      </c>
      <c r="T98" s="22">
        <v>2016</v>
      </c>
      <c r="U98" s="21">
        <v>42460</v>
      </c>
      <c r="V98" s="22"/>
    </row>
    <row r="99" spans="1:22" ht="19.5" customHeight="1" x14ac:dyDescent="0.3">
      <c r="A99" s="3">
        <v>2016</v>
      </c>
      <c r="B99" s="4">
        <v>42370</v>
      </c>
      <c r="C99" s="3">
        <v>3000</v>
      </c>
      <c r="D99" s="10" t="s">
        <v>163</v>
      </c>
      <c r="E99" s="6">
        <v>5000</v>
      </c>
      <c r="F99" s="6">
        <v>711099.24</v>
      </c>
      <c r="G99" s="6">
        <v>156855.20000000001</v>
      </c>
      <c r="H99" s="3">
        <v>3500</v>
      </c>
      <c r="I99" s="10" t="s">
        <v>163</v>
      </c>
      <c r="J99" s="6">
        <v>5000</v>
      </c>
      <c r="K99" s="6">
        <v>711099.24</v>
      </c>
      <c r="L99" s="6">
        <v>156855.20000000001</v>
      </c>
      <c r="M99" s="23">
        <v>92</v>
      </c>
      <c r="N99" s="7" t="s">
        <v>238</v>
      </c>
      <c r="O99" s="20" t="s">
        <v>245</v>
      </c>
      <c r="P99" s="20" t="s">
        <v>245</v>
      </c>
      <c r="Q99" s="20" t="s">
        <v>245</v>
      </c>
      <c r="R99" s="21">
        <v>42470</v>
      </c>
      <c r="S99" s="22" t="s">
        <v>246</v>
      </c>
      <c r="T99" s="22">
        <v>2016</v>
      </c>
      <c r="U99" s="21">
        <v>42460</v>
      </c>
      <c r="V99" s="22"/>
    </row>
    <row r="100" spans="1:22" ht="19.5" customHeight="1" x14ac:dyDescent="0.3">
      <c r="A100" s="3">
        <v>2016</v>
      </c>
      <c r="B100" s="4">
        <v>42370</v>
      </c>
      <c r="C100" s="3">
        <v>3000</v>
      </c>
      <c r="D100" s="10" t="s">
        <v>164</v>
      </c>
      <c r="E100" s="6">
        <v>460416.67</v>
      </c>
      <c r="F100" s="6">
        <f>460416.67+27724</f>
        <v>488140.67</v>
      </c>
      <c r="G100" s="6">
        <v>154832.59</v>
      </c>
      <c r="H100" s="3">
        <v>3500</v>
      </c>
      <c r="I100" s="10" t="s">
        <v>164</v>
      </c>
      <c r="J100" s="6">
        <v>460416.67</v>
      </c>
      <c r="K100" s="6">
        <f>460416.67+27724</f>
        <v>488140.67</v>
      </c>
      <c r="L100" s="6">
        <v>154832.59</v>
      </c>
      <c r="M100" s="19">
        <v>93</v>
      </c>
      <c r="N100" s="7" t="s">
        <v>238</v>
      </c>
      <c r="O100" s="20" t="s">
        <v>245</v>
      </c>
      <c r="P100" s="20" t="s">
        <v>245</v>
      </c>
      <c r="Q100" s="20" t="s">
        <v>245</v>
      </c>
      <c r="R100" s="21">
        <v>42470</v>
      </c>
      <c r="S100" s="22" t="s">
        <v>246</v>
      </c>
      <c r="T100" s="22">
        <v>2016</v>
      </c>
      <c r="U100" s="21">
        <v>42460</v>
      </c>
      <c r="V100" s="22"/>
    </row>
    <row r="101" spans="1:22" ht="19.5" customHeight="1" x14ac:dyDescent="0.3">
      <c r="A101" s="3">
        <v>2016</v>
      </c>
      <c r="B101" s="4">
        <v>42370</v>
      </c>
      <c r="C101" s="3">
        <v>3000</v>
      </c>
      <c r="D101" s="10" t="s">
        <v>165</v>
      </c>
      <c r="E101" s="6">
        <v>395000</v>
      </c>
      <c r="F101" s="6">
        <v>583573.07999999996</v>
      </c>
      <c r="G101" s="6">
        <f>82170.78+188573.08</f>
        <v>270743.86</v>
      </c>
      <c r="H101" s="3">
        <v>3500</v>
      </c>
      <c r="I101" s="10" t="s">
        <v>165</v>
      </c>
      <c r="J101" s="6">
        <v>395000</v>
      </c>
      <c r="K101" s="6">
        <v>583573.07999999996</v>
      </c>
      <c r="L101" s="6">
        <f>82170.78+188573.08</f>
        <v>270743.86</v>
      </c>
      <c r="M101" s="23">
        <v>94</v>
      </c>
      <c r="N101" s="7" t="s">
        <v>238</v>
      </c>
      <c r="O101" s="20" t="s">
        <v>245</v>
      </c>
      <c r="P101" s="20" t="s">
        <v>245</v>
      </c>
      <c r="Q101" s="20" t="s">
        <v>245</v>
      </c>
      <c r="R101" s="21">
        <v>42470</v>
      </c>
      <c r="S101" s="22" t="s">
        <v>246</v>
      </c>
      <c r="T101" s="22">
        <v>2016</v>
      </c>
      <c r="U101" s="21">
        <v>42460</v>
      </c>
      <c r="V101" s="22"/>
    </row>
    <row r="102" spans="1:22" ht="19.5" customHeight="1" x14ac:dyDescent="0.3">
      <c r="A102" s="3">
        <v>2016</v>
      </c>
      <c r="B102" s="4">
        <v>42370</v>
      </c>
      <c r="C102" s="3">
        <v>3000</v>
      </c>
      <c r="D102" s="10" t="s">
        <v>166</v>
      </c>
      <c r="E102" s="6">
        <v>863783.84</v>
      </c>
      <c r="F102" s="6">
        <v>4090980.87</v>
      </c>
      <c r="G102" s="6">
        <v>335189.49</v>
      </c>
      <c r="H102" s="3">
        <v>3500</v>
      </c>
      <c r="I102" s="10" t="s">
        <v>166</v>
      </c>
      <c r="J102" s="6">
        <v>863783.84</v>
      </c>
      <c r="K102" s="6">
        <v>4090980.87</v>
      </c>
      <c r="L102" s="6">
        <v>335189.49</v>
      </c>
      <c r="M102" s="19">
        <v>95</v>
      </c>
      <c r="N102" s="7" t="s">
        <v>238</v>
      </c>
      <c r="O102" s="20" t="s">
        <v>245</v>
      </c>
      <c r="P102" s="20" t="s">
        <v>245</v>
      </c>
      <c r="Q102" s="20" t="s">
        <v>245</v>
      </c>
      <c r="R102" s="21">
        <v>42470</v>
      </c>
      <c r="S102" s="22" t="s">
        <v>246</v>
      </c>
      <c r="T102" s="22">
        <v>2016</v>
      </c>
      <c r="U102" s="21">
        <v>42460</v>
      </c>
      <c r="V102" s="22"/>
    </row>
    <row r="103" spans="1:22" ht="19.5" customHeight="1" x14ac:dyDescent="0.3">
      <c r="A103" s="3">
        <v>2016</v>
      </c>
      <c r="B103" s="4">
        <v>42370</v>
      </c>
      <c r="C103" s="3">
        <v>3000</v>
      </c>
      <c r="D103" s="10" t="s">
        <v>167</v>
      </c>
      <c r="E103" s="6">
        <v>124128</v>
      </c>
      <c r="F103" s="6">
        <f>124128+115599.8</f>
        <v>239727.8</v>
      </c>
      <c r="G103" s="6">
        <v>117455.8</v>
      </c>
      <c r="H103" s="3">
        <v>3500</v>
      </c>
      <c r="I103" s="10" t="s">
        <v>167</v>
      </c>
      <c r="J103" s="6">
        <v>124128</v>
      </c>
      <c r="K103" s="6">
        <f>124128+115599.8</f>
        <v>239727.8</v>
      </c>
      <c r="L103" s="6">
        <v>117455.8</v>
      </c>
      <c r="M103" s="23">
        <v>96</v>
      </c>
      <c r="N103" s="7" t="s">
        <v>238</v>
      </c>
      <c r="O103" s="20" t="s">
        <v>245</v>
      </c>
      <c r="P103" s="20" t="s">
        <v>245</v>
      </c>
      <c r="Q103" s="20" t="s">
        <v>245</v>
      </c>
      <c r="R103" s="21">
        <v>42470</v>
      </c>
      <c r="S103" s="22" t="s">
        <v>246</v>
      </c>
      <c r="T103" s="22">
        <v>2016</v>
      </c>
      <c r="U103" s="21">
        <v>42460</v>
      </c>
      <c r="V103" s="22"/>
    </row>
    <row r="104" spans="1:22" ht="19.5" customHeight="1" x14ac:dyDescent="0.3">
      <c r="A104" s="3">
        <v>2016</v>
      </c>
      <c r="B104" s="4">
        <v>42370</v>
      </c>
      <c r="C104" s="3">
        <v>3000</v>
      </c>
      <c r="D104" s="10" t="s">
        <v>168</v>
      </c>
      <c r="E104" s="6">
        <v>239163.2</v>
      </c>
      <c r="F104" s="6">
        <v>412828.2</v>
      </c>
      <c r="G104" s="6">
        <v>83549</v>
      </c>
      <c r="H104" s="3">
        <v>3500</v>
      </c>
      <c r="I104" s="10" t="s">
        <v>168</v>
      </c>
      <c r="J104" s="6">
        <v>239163.2</v>
      </c>
      <c r="K104" s="6">
        <v>412828.2</v>
      </c>
      <c r="L104" s="6">
        <v>83549</v>
      </c>
      <c r="M104" s="19">
        <v>97</v>
      </c>
      <c r="N104" s="7" t="s">
        <v>238</v>
      </c>
      <c r="O104" s="20" t="s">
        <v>245</v>
      </c>
      <c r="P104" s="20" t="s">
        <v>245</v>
      </c>
      <c r="Q104" s="20" t="s">
        <v>245</v>
      </c>
      <c r="R104" s="21">
        <v>42470</v>
      </c>
      <c r="S104" s="22" t="s">
        <v>246</v>
      </c>
      <c r="T104" s="22">
        <v>2016</v>
      </c>
      <c r="U104" s="21">
        <v>42460</v>
      </c>
      <c r="V104" s="22"/>
    </row>
    <row r="105" spans="1:22" ht="19.5" customHeight="1" x14ac:dyDescent="0.3">
      <c r="A105" s="3">
        <v>2016</v>
      </c>
      <c r="B105" s="4">
        <v>42370</v>
      </c>
      <c r="C105" s="3">
        <v>3000</v>
      </c>
      <c r="D105" s="12" t="s">
        <v>169</v>
      </c>
      <c r="E105" s="6">
        <v>5335410</v>
      </c>
      <c r="F105" s="6">
        <v>4895851.99</v>
      </c>
      <c r="G105" s="6">
        <v>642765.56999999995</v>
      </c>
      <c r="H105" s="3">
        <v>3600</v>
      </c>
      <c r="I105" s="12" t="s">
        <v>169</v>
      </c>
      <c r="J105" s="6">
        <v>5335410</v>
      </c>
      <c r="K105" s="6">
        <v>4895851.99</v>
      </c>
      <c r="L105" s="6">
        <v>642765.56999999995</v>
      </c>
      <c r="M105" s="23">
        <v>98</v>
      </c>
      <c r="N105" s="7" t="s">
        <v>238</v>
      </c>
      <c r="O105" s="20" t="s">
        <v>245</v>
      </c>
      <c r="P105" s="20" t="s">
        <v>245</v>
      </c>
      <c r="Q105" s="20" t="s">
        <v>245</v>
      </c>
      <c r="R105" s="21">
        <v>42470</v>
      </c>
      <c r="S105" s="22" t="s">
        <v>246</v>
      </c>
      <c r="T105" s="22">
        <v>2016</v>
      </c>
      <c r="U105" s="21">
        <v>42460</v>
      </c>
      <c r="V105" s="22"/>
    </row>
    <row r="106" spans="1:22" ht="19.5" customHeight="1" x14ac:dyDescent="0.3">
      <c r="A106" s="3">
        <v>2016</v>
      </c>
      <c r="B106" s="4">
        <v>42370</v>
      </c>
      <c r="C106" s="3">
        <v>3000</v>
      </c>
      <c r="D106" s="7" t="s">
        <v>170</v>
      </c>
      <c r="E106" s="6">
        <v>84000</v>
      </c>
      <c r="F106" s="6">
        <v>151983.20000000001</v>
      </c>
      <c r="G106" s="6">
        <v>0</v>
      </c>
      <c r="H106" s="3">
        <v>3600</v>
      </c>
      <c r="I106" s="7" t="s">
        <v>170</v>
      </c>
      <c r="J106" s="6">
        <v>84000</v>
      </c>
      <c r="K106" s="6">
        <v>151983.20000000001</v>
      </c>
      <c r="L106" s="6">
        <v>0</v>
      </c>
      <c r="M106" s="19">
        <v>99</v>
      </c>
      <c r="N106" s="7" t="s">
        <v>238</v>
      </c>
      <c r="O106" s="20" t="s">
        <v>245</v>
      </c>
      <c r="P106" s="20" t="s">
        <v>245</v>
      </c>
      <c r="Q106" s="20" t="s">
        <v>245</v>
      </c>
      <c r="R106" s="21">
        <v>42470</v>
      </c>
      <c r="S106" s="22" t="s">
        <v>246</v>
      </c>
      <c r="T106" s="22">
        <v>2016</v>
      </c>
      <c r="U106" s="21">
        <v>42460</v>
      </c>
      <c r="V106" s="22"/>
    </row>
    <row r="107" spans="1:22" ht="19.5" customHeight="1" x14ac:dyDescent="0.3">
      <c r="A107" s="3">
        <v>2016</v>
      </c>
      <c r="B107" s="4">
        <v>42370</v>
      </c>
      <c r="C107" s="3">
        <v>3000</v>
      </c>
      <c r="D107" s="10" t="s">
        <v>171</v>
      </c>
      <c r="E107" s="6">
        <v>118008</v>
      </c>
      <c r="F107" s="6">
        <v>36249</v>
      </c>
      <c r="G107" s="6">
        <v>0</v>
      </c>
      <c r="H107" s="3">
        <v>3600</v>
      </c>
      <c r="I107" s="10" t="s">
        <v>171</v>
      </c>
      <c r="J107" s="6">
        <v>118008</v>
      </c>
      <c r="K107" s="6">
        <v>36249</v>
      </c>
      <c r="L107" s="6">
        <v>0</v>
      </c>
      <c r="M107" s="23">
        <v>100</v>
      </c>
      <c r="N107" s="7" t="s">
        <v>238</v>
      </c>
      <c r="O107" s="20" t="s">
        <v>245</v>
      </c>
      <c r="P107" s="20" t="s">
        <v>245</v>
      </c>
      <c r="Q107" s="20" t="s">
        <v>245</v>
      </c>
      <c r="R107" s="21">
        <v>42470</v>
      </c>
      <c r="S107" s="22" t="s">
        <v>246</v>
      </c>
      <c r="T107" s="22">
        <v>2016</v>
      </c>
      <c r="U107" s="21">
        <v>42460</v>
      </c>
      <c r="V107" s="22"/>
    </row>
    <row r="108" spans="1:22" ht="19.5" customHeight="1" x14ac:dyDescent="0.3">
      <c r="A108" s="3">
        <v>2016</v>
      </c>
      <c r="B108" s="4">
        <v>42370</v>
      </c>
      <c r="C108" s="3">
        <v>3000</v>
      </c>
      <c r="D108" s="7" t="s">
        <v>172</v>
      </c>
      <c r="E108" s="6">
        <v>1000</v>
      </c>
      <c r="F108" s="6">
        <v>1000</v>
      </c>
      <c r="G108" s="6">
        <v>0</v>
      </c>
      <c r="H108" s="3">
        <v>3600</v>
      </c>
      <c r="I108" s="7" t="s">
        <v>172</v>
      </c>
      <c r="J108" s="6">
        <v>1000</v>
      </c>
      <c r="K108" s="6">
        <v>1000</v>
      </c>
      <c r="L108" s="6">
        <v>0</v>
      </c>
      <c r="M108" s="19">
        <v>101</v>
      </c>
      <c r="N108" s="7" t="s">
        <v>238</v>
      </c>
      <c r="O108" s="20" t="s">
        <v>245</v>
      </c>
      <c r="P108" s="20" t="s">
        <v>245</v>
      </c>
      <c r="Q108" s="20" t="s">
        <v>245</v>
      </c>
      <c r="R108" s="21">
        <v>42470</v>
      </c>
      <c r="S108" s="22" t="s">
        <v>246</v>
      </c>
      <c r="T108" s="22">
        <v>2016</v>
      </c>
      <c r="U108" s="21">
        <v>42460</v>
      </c>
      <c r="V108" s="22"/>
    </row>
    <row r="109" spans="1:22" ht="19.5" customHeight="1" x14ac:dyDescent="0.3">
      <c r="A109" s="3">
        <v>2016</v>
      </c>
      <c r="B109" s="4">
        <v>42370</v>
      </c>
      <c r="C109" s="3">
        <v>3000</v>
      </c>
      <c r="D109" s="10" t="s">
        <v>173</v>
      </c>
      <c r="E109" s="6">
        <v>324100</v>
      </c>
      <c r="F109" s="6">
        <v>284497</v>
      </c>
      <c r="G109" s="6">
        <v>6469</v>
      </c>
      <c r="H109" s="3">
        <v>3700</v>
      </c>
      <c r="I109" s="10" t="s">
        <v>173</v>
      </c>
      <c r="J109" s="6">
        <v>324100</v>
      </c>
      <c r="K109" s="6">
        <v>284497</v>
      </c>
      <c r="L109" s="6">
        <v>6469</v>
      </c>
      <c r="M109" s="23">
        <v>102</v>
      </c>
      <c r="N109" s="7" t="s">
        <v>238</v>
      </c>
      <c r="O109" s="20" t="s">
        <v>245</v>
      </c>
      <c r="P109" s="20" t="s">
        <v>245</v>
      </c>
      <c r="Q109" s="20" t="s">
        <v>245</v>
      </c>
      <c r="R109" s="21">
        <v>42470</v>
      </c>
      <c r="S109" s="22" t="s">
        <v>246</v>
      </c>
      <c r="T109" s="22">
        <v>2016</v>
      </c>
      <c r="U109" s="21">
        <v>42460</v>
      </c>
      <c r="V109" s="22"/>
    </row>
    <row r="110" spans="1:22" ht="19.5" customHeight="1" x14ac:dyDescent="0.3">
      <c r="A110" s="3">
        <v>2016</v>
      </c>
      <c r="B110" s="4">
        <v>42370</v>
      </c>
      <c r="C110" s="3">
        <v>3000</v>
      </c>
      <c r="D110" s="10" t="s">
        <v>174</v>
      </c>
      <c r="E110" s="6">
        <v>414840</v>
      </c>
      <c r="F110" s="6">
        <v>553192.39</v>
      </c>
      <c r="G110" s="6">
        <v>85525.95</v>
      </c>
      <c r="H110" s="3">
        <v>3700</v>
      </c>
      <c r="I110" s="10" t="s">
        <v>174</v>
      </c>
      <c r="J110" s="6">
        <v>414840</v>
      </c>
      <c r="K110" s="6">
        <v>553192.39</v>
      </c>
      <c r="L110" s="6">
        <v>85525.95</v>
      </c>
      <c r="M110" s="19">
        <v>103</v>
      </c>
      <c r="N110" s="7" t="s">
        <v>238</v>
      </c>
      <c r="O110" s="20" t="s">
        <v>245</v>
      </c>
      <c r="P110" s="20" t="s">
        <v>245</v>
      </c>
      <c r="Q110" s="20" t="s">
        <v>245</v>
      </c>
      <c r="R110" s="21">
        <v>42470</v>
      </c>
      <c r="S110" s="22" t="s">
        <v>246</v>
      </c>
      <c r="T110" s="22">
        <v>2016</v>
      </c>
      <c r="U110" s="21">
        <v>42460</v>
      </c>
      <c r="V110" s="22"/>
    </row>
    <row r="111" spans="1:22" ht="19.5" customHeight="1" x14ac:dyDescent="0.3">
      <c r="A111" s="3">
        <v>2016</v>
      </c>
      <c r="B111" s="4">
        <v>42370</v>
      </c>
      <c r="C111" s="3">
        <v>3000</v>
      </c>
      <c r="D111" s="10" t="s">
        <v>175</v>
      </c>
      <c r="E111" s="6">
        <v>59300</v>
      </c>
      <c r="F111" s="6">
        <v>75700</v>
      </c>
      <c r="G111" s="6">
        <v>0</v>
      </c>
      <c r="H111" s="3">
        <v>3700</v>
      </c>
      <c r="I111" s="10" t="s">
        <v>175</v>
      </c>
      <c r="J111" s="6">
        <v>59300</v>
      </c>
      <c r="K111" s="6">
        <v>75700</v>
      </c>
      <c r="L111" s="6">
        <v>0</v>
      </c>
      <c r="M111" s="23">
        <v>104</v>
      </c>
      <c r="N111" s="7" t="s">
        <v>238</v>
      </c>
      <c r="O111" s="20" t="s">
        <v>245</v>
      </c>
      <c r="P111" s="20" t="s">
        <v>245</v>
      </c>
      <c r="Q111" s="20" t="s">
        <v>245</v>
      </c>
      <c r="R111" s="21">
        <v>42470</v>
      </c>
      <c r="S111" s="22" t="s">
        <v>246</v>
      </c>
      <c r="T111" s="22">
        <v>2016</v>
      </c>
      <c r="U111" s="21">
        <v>42460</v>
      </c>
      <c r="V111" s="22"/>
    </row>
    <row r="112" spans="1:22" ht="19.5" customHeight="1" x14ac:dyDescent="0.3">
      <c r="A112" s="3">
        <v>2016</v>
      </c>
      <c r="B112" s="4">
        <v>42370</v>
      </c>
      <c r="C112" s="3">
        <v>3000</v>
      </c>
      <c r="D112" s="10" t="s">
        <v>176</v>
      </c>
      <c r="E112" s="6">
        <v>45600</v>
      </c>
      <c r="F112" s="6">
        <v>101740</v>
      </c>
      <c r="G112" s="6">
        <v>7990</v>
      </c>
      <c r="H112" s="3">
        <v>3700</v>
      </c>
      <c r="I112" s="10" t="s">
        <v>176</v>
      </c>
      <c r="J112" s="6">
        <v>45600</v>
      </c>
      <c r="K112" s="6">
        <v>101740</v>
      </c>
      <c r="L112" s="6">
        <v>7990</v>
      </c>
      <c r="M112" s="19">
        <v>105</v>
      </c>
      <c r="N112" s="7" t="s">
        <v>238</v>
      </c>
      <c r="O112" s="20" t="s">
        <v>245</v>
      </c>
      <c r="P112" s="20" t="s">
        <v>245</v>
      </c>
      <c r="Q112" s="20" t="s">
        <v>245</v>
      </c>
      <c r="R112" s="21">
        <v>42470</v>
      </c>
      <c r="S112" s="22" t="s">
        <v>246</v>
      </c>
      <c r="T112" s="22">
        <v>2016</v>
      </c>
      <c r="U112" s="21">
        <v>42460</v>
      </c>
      <c r="V112" s="22"/>
    </row>
    <row r="113" spans="1:22" ht="19.5" customHeight="1" x14ac:dyDescent="0.3">
      <c r="A113" s="3">
        <v>2016</v>
      </c>
      <c r="B113" s="4">
        <v>42370</v>
      </c>
      <c r="C113" s="3">
        <v>3000</v>
      </c>
      <c r="D113" s="7" t="s">
        <v>177</v>
      </c>
      <c r="E113" s="6">
        <v>104337.60000000001</v>
      </c>
      <c r="F113" s="6">
        <v>104337.60000000001</v>
      </c>
      <c r="G113" s="6">
        <v>0</v>
      </c>
      <c r="H113" s="3">
        <v>3700</v>
      </c>
      <c r="I113" s="7" t="s">
        <v>177</v>
      </c>
      <c r="J113" s="6">
        <v>104337.60000000001</v>
      </c>
      <c r="K113" s="6">
        <v>104337.60000000001</v>
      </c>
      <c r="L113" s="6">
        <v>0</v>
      </c>
      <c r="M113" s="23">
        <v>106</v>
      </c>
      <c r="N113" s="7" t="s">
        <v>238</v>
      </c>
      <c r="O113" s="20" t="s">
        <v>245</v>
      </c>
      <c r="P113" s="20" t="s">
        <v>245</v>
      </c>
      <c r="Q113" s="20" t="s">
        <v>245</v>
      </c>
      <c r="R113" s="21">
        <v>42470</v>
      </c>
      <c r="S113" s="22" t="s">
        <v>246</v>
      </c>
      <c r="T113" s="22">
        <v>2016</v>
      </c>
      <c r="U113" s="21">
        <v>42460</v>
      </c>
      <c r="V113" s="22"/>
    </row>
    <row r="114" spans="1:22" ht="19.5" customHeight="1" x14ac:dyDescent="0.3">
      <c r="A114" s="3">
        <v>2016</v>
      </c>
      <c r="B114" s="4">
        <v>42370</v>
      </c>
      <c r="C114" s="3">
        <v>3000</v>
      </c>
      <c r="D114" s="7" t="s">
        <v>178</v>
      </c>
      <c r="E114" s="6">
        <v>2000</v>
      </c>
      <c r="F114" s="6">
        <v>2000</v>
      </c>
      <c r="G114" s="6">
        <v>0</v>
      </c>
      <c r="H114" s="3">
        <v>3700</v>
      </c>
      <c r="I114" s="7" t="s">
        <v>178</v>
      </c>
      <c r="J114" s="6">
        <v>2000</v>
      </c>
      <c r="K114" s="6">
        <v>2000</v>
      </c>
      <c r="L114" s="6">
        <v>0</v>
      </c>
      <c r="M114" s="19">
        <v>107</v>
      </c>
      <c r="N114" s="7" t="s">
        <v>238</v>
      </c>
      <c r="O114" s="20" t="s">
        <v>245</v>
      </c>
      <c r="P114" s="20" t="s">
        <v>245</v>
      </c>
      <c r="Q114" s="20" t="s">
        <v>245</v>
      </c>
      <c r="R114" s="21">
        <v>42470</v>
      </c>
      <c r="S114" s="22" t="s">
        <v>246</v>
      </c>
      <c r="T114" s="22">
        <v>2016</v>
      </c>
      <c r="U114" s="21">
        <v>42460</v>
      </c>
      <c r="V114" s="22"/>
    </row>
    <row r="115" spans="1:22" ht="19.5" customHeight="1" x14ac:dyDescent="0.3">
      <c r="A115" s="3">
        <v>2016</v>
      </c>
      <c r="B115" s="4">
        <v>42370</v>
      </c>
      <c r="C115" s="3">
        <v>3000</v>
      </c>
      <c r="D115" s="10" t="s">
        <v>179</v>
      </c>
      <c r="E115" s="6">
        <v>710243.33</v>
      </c>
      <c r="F115" s="6">
        <v>786452.31</v>
      </c>
      <c r="G115" s="6">
        <v>23104.16</v>
      </c>
      <c r="H115" s="3">
        <v>3700</v>
      </c>
      <c r="I115" s="10" t="s">
        <v>179</v>
      </c>
      <c r="J115" s="6">
        <v>710243.33</v>
      </c>
      <c r="K115" s="6">
        <v>786452.31</v>
      </c>
      <c r="L115" s="6">
        <v>23104.16</v>
      </c>
      <c r="M115" s="23">
        <v>108</v>
      </c>
      <c r="N115" s="7" t="s">
        <v>238</v>
      </c>
      <c r="O115" s="20" t="s">
        <v>245</v>
      </c>
      <c r="P115" s="20" t="s">
        <v>245</v>
      </c>
      <c r="Q115" s="20" t="s">
        <v>245</v>
      </c>
      <c r="R115" s="21">
        <v>42470</v>
      </c>
      <c r="S115" s="22" t="s">
        <v>246</v>
      </c>
      <c r="T115" s="22">
        <v>2016</v>
      </c>
      <c r="U115" s="21">
        <v>42460</v>
      </c>
      <c r="V115" s="22"/>
    </row>
    <row r="116" spans="1:22" ht="19.5" customHeight="1" x14ac:dyDescent="0.3">
      <c r="A116" s="3">
        <v>2016</v>
      </c>
      <c r="B116" s="4">
        <v>42370</v>
      </c>
      <c r="C116" s="3">
        <v>3000</v>
      </c>
      <c r="D116" s="10" t="s">
        <v>180</v>
      </c>
      <c r="E116" s="6">
        <v>435500</v>
      </c>
      <c r="F116" s="6">
        <v>453071.82</v>
      </c>
      <c r="G116" s="6">
        <v>38650.269999999997</v>
      </c>
      <c r="H116" s="3">
        <v>3700</v>
      </c>
      <c r="I116" s="10" t="s">
        <v>180</v>
      </c>
      <c r="J116" s="6">
        <v>435500</v>
      </c>
      <c r="K116" s="6">
        <v>453071.82</v>
      </c>
      <c r="L116" s="6">
        <v>38650.269999999997</v>
      </c>
      <c r="M116" s="19">
        <v>109</v>
      </c>
      <c r="N116" s="7" t="s">
        <v>238</v>
      </c>
      <c r="O116" s="20" t="s">
        <v>245</v>
      </c>
      <c r="P116" s="20" t="s">
        <v>245</v>
      </c>
      <c r="Q116" s="20" t="s">
        <v>245</v>
      </c>
      <c r="R116" s="21">
        <v>42470</v>
      </c>
      <c r="S116" s="22" t="s">
        <v>246</v>
      </c>
      <c r="T116" s="22">
        <v>2016</v>
      </c>
      <c r="U116" s="21">
        <v>42460</v>
      </c>
      <c r="V116" s="22"/>
    </row>
    <row r="117" spans="1:22" ht="19.5" customHeight="1" x14ac:dyDescent="0.3">
      <c r="A117" s="3">
        <v>2016</v>
      </c>
      <c r="B117" s="4">
        <v>42370</v>
      </c>
      <c r="C117" s="3">
        <v>3000</v>
      </c>
      <c r="D117" s="7" t="s">
        <v>181</v>
      </c>
      <c r="E117" s="6">
        <v>30000</v>
      </c>
      <c r="F117" s="6">
        <v>30000</v>
      </c>
      <c r="G117" s="6">
        <v>0</v>
      </c>
      <c r="H117" s="3">
        <v>3700</v>
      </c>
      <c r="I117" s="7" t="s">
        <v>181</v>
      </c>
      <c r="J117" s="6">
        <v>30000</v>
      </c>
      <c r="K117" s="6">
        <v>30000</v>
      </c>
      <c r="L117" s="6">
        <v>0</v>
      </c>
      <c r="M117" s="23">
        <v>110</v>
      </c>
      <c r="N117" s="7" t="s">
        <v>238</v>
      </c>
      <c r="O117" s="20" t="s">
        <v>245</v>
      </c>
      <c r="P117" s="20" t="s">
        <v>245</v>
      </c>
      <c r="Q117" s="20" t="s">
        <v>245</v>
      </c>
      <c r="R117" s="21">
        <v>42470</v>
      </c>
      <c r="S117" s="22" t="s">
        <v>246</v>
      </c>
      <c r="T117" s="22">
        <v>2016</v>
      </c>
      <c r="U117" s="21">
        <v>42460</v>
      </c>
      <c r="V117" s="22"/>
    </row>
    <row r="118" spans="1:22" ht="19.5" customHeight="1" x14ac:dyDescent="0.3">
      <c r="A118" s="3">
        <v>2016</v>
      </c>
      <c r="B118" s="4">
        <v>42370</v>
      </c>
      <c r="C118" s="3">
        <v>3000</v>
      </c>
      <c r="D118" s="7" t="s">
        <v>182</v>
      </c>
      <c r="E118" s="6">
        <v>4000</v>
      </c>
      <c r="F118" s="6">
        <v>0</v>
      </c>
      <c r="G118" s="6">
        <v>0</v>
      </c>
      <c r="H118" s="3">
        <v>3700</v>
      </c>
      <c r="I118" s="7" t="s">
        <v>182</v>
      </c>
      <c r="J118" s="6">
        <v>4000</v>
      </c>
      <c r="K118" s="6">
        <v>0</v>
      </c>
      <c r="L118" s="6">
        <v>0</v>
      </c>
      <c r="M118" s="19">
        <v>111</v>
      </c>
      <c r="N118" s="7" t="s">
        <v>238</v>
      </c>
      <c r="O118" s="20" t="s">
        <v>245</v>
      </c>
      <c r="P118" s="20" t="s">
        <v>245</v>
      </c>
      <c r="Q118" s="20" t="s">
        <v>245</v>
      </c>
      <c r="R118" s="21">
        <v>42470</v>
      </c>
      <c r="S118" s="22" t="s">
        <v>246</v>
      </c>
      <c r="T118" s="22">
        <v>2016</v>
      </c>
      <c r="U118" s="21">
        <v>42460</v>
      </c>
      <c r="V118" s="22"/>
    </row>
    <row r="119" spans="1:22" ht="19.5" customHeight="1" x14ac:dyDescent="0.3">
      <c r="A119" s="3">
        <v>2016</v>
      </c>
      <c r="B119" s="4">
        <v>42370</v>
      </c>
      <c r="C119" s="3">
        <v>3000</v>
      </c>
      <c r="D119" s="10" t="s">
        <v>183</v>
      </c>
      <c r="E119" s="6">
        <v>4101228</v>
      </c>
      <c r="F119" s="6">
        <v>4364667.96</v>
      </c>
      <c r="G119" s="6">
        <v>679629.53</v>
      </c>
      <c r="H119" s="3">
        <v>3800</v>
      </c>
      <c r="I119" s="10" t="s">
        <v>183</v>
      </c>
      <c r="J119" s="6">
        <v>4101228</v>
      </c>
      <c r="K119" s="6">
        <v>4364667.96</v>
      </c>
      <c r="L119" s="6">
        <v>679629.53</v>
      </c>
      <c r="M119" s="23">
        <v>112</v>
      </c>
      <c r="N119" s="7" t="s">
        <v>238</v>
      </c>
      <c r="O119" s="20" t="s">
        <v>245</v>
      </c>
      <c r="P119" s="20" t="s">
        <v>245</v>
      </c>
      <c r="Q119" s="20" t="s">
        <v>245</v>
      </c>
      <c r="R119" s="21">
        <v>42470</v>
      </c>
      <c r="S119" s="22" t="s">
        <v>246</v>
      </c>
      <c r="T119" s="22">
        <v>2016</v>
      </c>
      <c r="U119" s="21">
        <v>42460</v>
      </c>
      <c r="V119" s="22"/>
    </row>
    <row r="120" spans="1:22" ht="19.5" customHeight="1" x14ac:dyDescent="0.3">
      <c r="A120" s="3">
        <v>2016</v>
      </c>
      <c r="B120" s="4">
        <v>42370</v>
      </c>
      <c r="C120" s="3">
        <v>3000</v>
      </c>
      <c r="D120" s="10" t="s">
        <v>184</v>
      </c>
      <c r="E120" s="6">
        <v>617333</v>
      </c>
      <c r="F120" s="6">
        <v>807479.56</v>
      </c>
      <c r="G120" s="6">
        <v>287167.33</v>
      </c>
      <c r="H120" s="3">
        <v>3800</v>
      </c>
      <c r="I120" s="10" t="s">
        <v>184</v>
      </c>
      <c r="J120" s="6">
        <v>617333</v>
      </c>
      <c r="K120" s="6">
        <v>807479.56</v>
      </c>
      <c r="L120" s="6">
        <v>287167.33</v>
      </c>
      <c r="M120" s="19">
        <v>113</v>
      </c>
      <c r="N120" s="7" t="s">
        <v>238</v>
      </c>
      <c r="O120" s="20" t="s">
        <v>245</v>
      </c>
      <c r="P120" s="20" t="s">
        <v>245</v>
      </c>
      <c r="Q120" s="20" t="s">
        <v>245</v>
      </c>
      <c r="R120" s="21">
        <v>42470</v>
      </c>
      <c r="S120" s="22" t="s">
        <v>246</v>
      </c>
      <c r="T120" s="22">
        <v>2016</v>
      </c>
      <c r="U120" s="21">
        <v>42460</v>
      </c>
      <c r="V120" s="22"/>
    </row>
    <row r="121" spans="1:22" ht="19.5" customHeight="1" x14ac:dyDescent="0.3">
      <c r="A121" s="3">
        <v>2016</v>
      </c>
      <c r="B121" s="4">
        <v>42370</v>
      </c>
      <c r="C121" s="3">
        <v>3000</v>
      </c>
      <c r="D121" s="10" t="s">
        <v>185</v>
      </c>
      <c r="E121" s="6">
        <v>1860850.1</v>
      </c>
      <c r="F121" s="6">
        <v>1830986.92</v>
      </c>
      <c r="G121" s="6">
        <v>9031.27</v>
      </c>
      <c r="H121" s="3">
        <v>3800</v>
      </c>
      <c r="I121" s="10" t="s">
        <v>185</v>
      </c>
      <c r="J121" s="6">
        <v>1860850.1</v>
      </c>
      <c r="K121" s="6">
        <v>1830986.92</v>
      </c>
      <c r="L121" s="6">
        <v>9031.27</v>
      </c>
      <c r="M121" s="23">
        <v>114</v>
      </c>
      <c r="N121" s="7" t="s">
        <v>238</v>
      </c>
      <c r="O121" s="20" t="s">
        <v>245</v>
      </c>
      <c r="P121" s="20" t="s">
        <v>245</v>
      </c>
      <c r="Q121" s="20" t="s">
        <v>245</v>
      </c>
      <c r="R121" s="21">
        <v>42470</v>
      </c>
      <c r="S121" s="22" t="s">
        <v>246</v>
      </c>
      <c r="T121" s="22">
        <v>2016</v>
      </c>
      <c r="U121" s="21">
        <v>42460</v>
      </c>
      <c r="V121" s="22"/>
    </row>
    <row r="122" spans="1:22" ht="19.5" customHeight="1" x14ac:dyDescent="0.3">
      <c r="A122" s="3">
        <v>2016</v>
      </c>
      <c r="B122" s="4">
        <v>42370</v>
      </c>
      <c r="C122" s="3">
        <v>3000</v>
      </c>
      <c r="D122" s="7" t="s">
        <v>186</v>
      </c>
      <c r="E122" s="6">
        <v>387031.95</v>
      </c>
      <c r="F122" s="6">
        <v>399031.95</v>
      </c>
      <c r="G122" s="6">
        <v>101029.88</v>
      </c>
      <c r="H122" s="3">
        <v>3900</v>
      </c>
      <c r="I122" s="7" t="s">
        <v>186</v>
      </c>
      <c r="J122" s="6">
        <v>387031.95</v>
      </c>
      <c r="K122" s="6">
        <v>399031.95</v>
      </c>
      <c r="L122" s="6">
        <v>101029.88</v>
      </c>
      <c r="M122" s="19">
        <v>115</v>
      </c>
      <c r="N122" s="7" t="s">
        <v>238</v>
      </c>
      <c r="O122" s="20" t="s">
        <v>245</v>
      </c>
      <c r="P122" s="20" t="s">
        <v>245</v>
      </c>
      <c r="Q122" s="20" t="s">
        <v>245</v>
      </c>
      <c r="R122" s="21">
        <v>42470</v>
      </c>
      <c r="S122" s="22" t="s">
        <v>246</v>
      </c>
      <c r="T122" s="22">
        <v>2016</v>
      </c>
      <c r="U122" s="21">
        <v>42460</v>
      </c>
      <c r="V122" s="22"/>
    </row>
    <row r="123" spans="1:22" ht="19.5" customHeight="1" x14ac:dyDescent="0.3">
      <c r="A123" s="3">
        <v>2016</v>
      </c>
      <c r="B123" s="4">
        <v>42370</v>
      </c>
      <c r="C123" s="3">
        <v>3000</v>
      </c>
      <c r="D123" s="7" t="s">
        <v>187</v>
      </c>
      <c r="E123" s="6">
        <v>0</v>
      </c>
      <c r="F123" s="6">
        <v>250000</v>
      </c>
      <c r="G123" s="6">
        <v>0</v>
      </c>
      <c r="H123" s="3">
        <v>3900</v>
      </c>
      <c r="I123" s="7" t="s">
        <v>187</v>
      </c>
      <c r="J123" s="6">
        <v>0</v>
      </c>
      <c r="K123" s="6">
        <v>250000</v>
      </c>
      <c r="L123" s="6">
        <v>0</v>
      </c>
      <c r="M123" s="23">
        <v>116</v>
      </c>
      <c r="N123" s="7" t="s">
        <v>238</v>
      </c>
      <c r="O123" s="20" t="s">
        <v>245</v>
      </c>
      <c r="P123" s="20" t="s">
        <v>245</v>
      </c>
      <c r="Q123" s="20" t="s">
        <v>245</v>
      </c>
      <c r="R123" s="21">
        <v>42470</v>
      </c>
      <c r="S123" s="22" t="s">
        <v>246</v>
      </c>
      <c r="T123" s="22">
        <v>2016</v>
      </c>
      <c r="U123" s="21">
        <v>42460</v>
      </c>
      <c r="V123" s="22"/>
    </row>
    <row r="124" spans="1:22" ht="19.5" customHeight="1" x14ac:dyDescent="0.3">
      <c r="A124" s="3">
        <v>2016</v>
      </c>
      <c r="B124" s="4">
        <v>42370</v>
      </c>
      <c r="C124" s="3">
        <v>3000</v>
      </c>
      <c r="D124" s="7" t="s">
        <v>188</v>
      </c>
      <c r="E124" s="6">
        <v>26790709.48</v>
      </c>
      <c r="F124" s="6">
        <v>27455886.48</v>
      </c>
      <c r="G124" s="6">
        <v>11768131</v>
      </c>
      <c r="H124" s="3">
        <v>3900</v>
      </c>
      <c r="I124" s="7" t="s">
        <v>188</v>
      </c>
      <c r="J124" s="6">
        <v>26790709.48</v>
      </c>
      <c r="K124" s="6">
        <v>27455886.48</v>
      </c>
      <c r="L124" s="6">
        <v>11768131</v>
      </c>
      <c r="M124" s="19">
        <v>117</v>
      </c>
      <c r="N124" s="7" t="s">
        <v>238</v>
      </c>
      <c r="O124" s="20" t="s">
        <v>245</v>
      </c>
      <c r="P124" s="20" t="s">
        <v>245</v>
      </c>
      <c r="Q124" s="20" t="s">
        <v>245</v>
      </c>
      <c r="R124" s="21">
        <v>42470</v>
      </c>
      <c r="S124" s="22" t="s">
        <v>246</v>
      </c>
      <c r="T124" s="22">
        <v>2016</v>
      </c>
      <c r="U124" s="21">
        <v>42460</v>
      </c>
      <c r="V124" s="22"/>
    </row>
    <row r="125" spans="1:22" ht="19.5" customHeight="1" x14ac:dyDescent="0.3">
      <c r="A125" s="3">
        <v>2016</v>
      </c>
      <c r="B125" s="4">
        <v>42370</v>
      </c>
      <c r="C125" s="3">
        <v>4000</v>
      </c>
      <c r="D125" s="7" t="s">
        <v>189</v>
      </c>
      <c r="E125" s="6">
        <v>11400</v>
      </c>
      <c r="F125" s="6">
        <v>11400</v>
      </c>
      <c r="G125" s="6">
        <v>0</v>
      </c>
      <c r="H125" s="3">
        <v>4100</v>
      </c>
      <c r="I125" s="7" t="s">
        <v>189</v>
      </c>
      <c r="J125" s="6">
        <v>11400</v>
      </c>
      <c r="K125" s="6">
        <v>11400</v>
      </c>
      <c r="L125" s="6">
        <v>0</v>
      </c>
      <c r="M125" s="23">
        <v>118</v>
      </c>
      <c r="N125" s="7" t="s">
        <v>239</v>
      </c>
      <c r="O125" s="20" t="s">
        <v>245</v>
      </c>
      <c r="P125" s="20" t="s">
        <v>245</v>
      </c>
      <c r="Q125" s="20" t="s">
        <v>245</v>
      </c>
      <c r="R125" s="21">
        <v>42470</v>
      </c>
      <c r="S125" s="22" t="s">
        <v>246</v>
      </c>
      <c r="T125" s="22">
        <v>2016</v>
      </c>
      <c r="U125" s="21">
        <v>42460</v>
      </c>
      <c r="V125" s="22"/>
    </row>
    <row r="126" spans="1:22" ht="19.5" customHeight="1" x14ac:dyDescent="0.3">
      <c r="A126" s="3">
        <v>2016</v>
      </c>
      <c r="B126" s="4">
        <v>42370</v>
      </c>
      <c r="C126" s="3">
        <v>4000</v>
      </c>
      <c r="D126" s="10" t="s">
        <v>190</v>
      </c>
      <c r="E126" s="6">
        <v>6500</v>
      </c>
      <c r="F126" s="6">
        <v>24473</v>
      </c>
      <c r="G126" s="6">
        <v>0</v>
      </c>
      <c r="H126" s="3">
        <v>4400</v>
      </c>
      <c r="I126" s="10" t="s">
        <v>190</v>
      </c>
      <c r="J126" s="6">
        <v>6500</v>
      </c>
      <c r="K126" s="6">
        <v>24473</v>
      </c>
      <c r="L126" s="6">
        <v>0</v>
      </c>
      <c r="M126" s="19">
        <v>119</v>
      </c>
      <c r="N126" s="7" t="s">
        <v>239</v>
      </c>
      <c r="O126" s="20" t="s">
        <v>245</v>
      </c>
      <c r="P126" s="20" t="s">
        <v>245</v>
      </c>
      <c r="Q126" s="20" t="s">
        <v>245</v>
      </c>
      <c r="R126" s="21">
        <v>42470</v>
      </c>
      <c r="S126" s="22" t="s">
        <v>246</v>
      </c>
      <c r="T126" s="22">
        <v>2016</v>
      </c>
      <c r="U126" s="21">
        <v>42460</v>
      </c>
      <c r="V126" s="22"/>
    </row>
    <row r="127" spans="1:22" ht="19.5" customHeight="1" x14ac:dyDescent="0.3">
      <c r="A127" s="3">
        <v>2016</v>
      </c>
      <c r="B127" s="4">
        <v>42370</v>
      </c>
      <c r="C127" s="3">
        <v>4000</v>
      </c>
      <c r="D127" s="10" t="s">
        <v>191</v>
      </c>
      <c r="E127" s="6">
        <v>0</v>
      </c>
      <c r="F127" s="6">
        <v>25760</v>
      </c>
      <c r="G127" s="6">
        <v>25760</v>
      </c>
      <c r="H127" s="3">
        <v>4400</v>
      </c>
      <c r="I127" s="10" t="s">
        <v>191</v>
      </c>
      <c r="J127" s="6">
        <v>0</v>
      </c>
      <c r="K127" s="6">
        <v>25760</v>
      </c>
      <c r="L127" s="6">
        <v>25760</v>
      </c>
      <c r="M127" s="23">
        <v>120</v>
      </c>
      <c r="N127" s="7" t="s">
        <v>239</v>
      </c>
      <c r="O127" s="20" t="s">
        <v>245</v>
      </c>
      <c r="P127" s="20" t="s">
        <v>245</v>
      </c>
      <c r="Q127" s="20" t="s">
        <v>245</v>
      </c>
      <c r="R127" s="21">
        <v>42470</v>
      </c>
      <c r="S127" s="22" t="s">
        <v>246</v>
      </c>
      <c r="T127" s="22">
        <v>2016</v>
      </c>
      <c r="U127" s="21">
        <v>42460</v>
      </c>
      <c r="V127" s="22"/>
    </row>
    <row r="128" spans="1:22" ht="19.5" customHeight="1" x14ac:dyDescent="0.3">
      <c r="A128" s="3">
        <v>2016</v>
      </c>
      <c r="B128" s="4">
        <v>42370</v>
      </c>
      <c r="C128" s="3">
        <v>4000</v>
      </c>
      <c r="D128" s="10" t="s">
        <v>192</v>
      </c>
      <c r="E128" s="6">
        <v>22849000</v>
      </c>
      <c r="F128" s="6">
        <v>41919592.990000002</v>
      </c>
      <c r="G128" s="6">
        <v>17219494.399999999</v>
      </c>
      <c r="H128" s="3">
        <v>4400</v>
      </c>
      <c r="I128" s="10" t="s">
        <v>192</v>
      </c>
      <c r="J128" s="6">
        <v>22849000</v>
      </c>
      <c r="K128" s="6">
        <v>41919592.990000002</v>
      </c>
      <c r="L128" s="6">
        <v>17219494.399999999</v>
      </c>
      <c r="M128" s="19">
        <v>121</v>
      </c>
      <c r="N128" s="7" t="s">
        <v>239</v>
      </c>
      <c r="O128" s="20" t="s">
        <v>245</v>
      </c>
      <c r="P128" s="20" t="s">
        <v>245</v>
      </c>
      <c r="Q128" s="20" t="s">
        <v>245</v>
      </c>
      <c r="R128" s="21">
        <v>42470</v>
      </c>
      <c r="S128" s="22" t="s">
        <v>246</v>
      </c>
      <c r="T128" s="22">
        <v>2016</v>
      </c>
      <c r="U128" s="21">
        <v>42460</v>
      </c>
      <c r="V128" s="22"/>
    </row>
    <row r="129" spans="1:22" ht="19.5" customHeight="1" x14ac:dyDescent="0.3">
      <c r="A129" s="3">
        <v>2016</v>
      </c>
      <c r="B129" s="4">
        <v>42370</v>
      </c>
      <c r="C129" s="3">
        <v>4000</v>
      </c>
      <c r="D129" s="10" t="s">
        <v>193</v>
      </c>
      <c r="E129" s="6">
        <v>700000</v>
      </c>
      <c r="F129" s="6">
        <v>1248667.58</v>
      </c>
      <c r="G129" s="6">
        <v>431413.42</v>
      </c>
      <c r="H129" s="3">
        <v>4400</v>
      </c>
      <c r="I129" s="10" t="s">
        <v>193</v>
      </c>
      <c r="J129" s="6">
        <v>700000</v>
      </c>
      <c r="K129" s="6">
        <v>1248667.58</v>
      </c>
      <c r="L129" s="6">
        <v>431413.42</v>
      </c>
      <c r="M129" s="23">
        <v>122</v>
      </c>
      <c r="N129" s="7" t="s">
        <v>239</v>
      </c>
      <c r="O129" s="20" t="s">
        <v>245</v>
      </c>
      <c r="P129" s="20" t="s">
        <v>245</v>
      </c>
      <c r="Q129" s="20" t="s">
        <v>245</v>
      </c>
      <c r="R129" s="21">
        <v>42470</v>
      </c>
      <c r="S129" s="22" t="s">
        <v>246</v>
      </c>
      <c r="T129" s="22">
        <v>2016</v>
      </c>
      <c r="U129" s="21">
        <v>42460</v>
      </c>
      <c r="V129" s="22"/>
    </row>
    <row r="130" spans="1:22" ht="19.5" customHeight="1" x14ac:dyDescent="0.3">
      <c r="A130" s="3">
        <v>2016</v>
      </c>
      <c r="B130" s="4">
        <v>42370</v>
      </c>
      <c r="C130" s="3">
        <v>5000</v>
      </c>
      <c r="D130" s="10" t="s">
        <v>194</v>
      </c>
      <c r="E130" s="6">
        <v>1198197.3</v>
      </c>
      <c r="F130" s="6">
        <v>2254317.42</v>
      </c>
      <c r="G130" s="6">
        <v>436171.86</v>
      </c>
      <c r="H130" s="3">
        <v>5100</v>
      </c>
      <c r="I130" s="10" t="s">
        <v>194</v>
      </c>
      <c r="J130" s="6">
        <v>1198197.3</v>
      </c>
      <c r="K130" s="6">
        <v>2254317.42</v>
      </c>
      <c r="L130" s="6">
        <v>436171.86</v>
      </c>
      <c r="M130" s="19">
        <v>123</v>
      </c>
      <c r="N130" s="7" t="s">
        <v>240</v>
      </c>
      <c r="O130" s="20" t="s">
        <v>245</v>
      </c>
      <c r="P130" s="20" t="s">
        <v>245</v>
      </c>
      <c r="Q130" s="20" t="s">
        <v>245</v>
      </c>
      <c r="R130" s="21">
        <v>42470</v>
      </c>
      <c r="S130" s="22" t="s">
        <v>246</v>
      </c>
      <c r="T130" s="22">
        <v>2016</v>
      </c>
      <c r="U130" s="21">
        <v>42460</v>
      </c>
      <c r="V130" s="22"/>
    </row>
    <row r="131" spans="1:22" ht="19.5" customHeight="1" x14ac:dyDescent="0.3">
      <c r="A131" s="3">
        <v>2016</v>
      </c>
      <c r="B131" s="4">
        <v>42370</v>
      </c>
      <c r="C131" s="3">
        <v>5000</v>
      </c>
      <c r="D131" s="10" t="s">
        <v>195</v>
      </c>
      <c r="E131" s="6">
        <v>0</v>
      </c>
      <c r="F131" s="6">
        <v>169686.81</v>
      </c>
      <c r="G131" s="6">
        <v>155062.69</v>
      </c>
      <c r="H131" s="3">
        <v>5100</v>
      </c>
      <c r="I131" s="10" t="s">
        <v>195</v>
      </c>
      <c r="J131" s="6">
        <v>0</v>
      </c>
      <c r="K131" s="6">
        <v>169686.81</v>
      </c>
      <c r="L131" s="6">
        <v>155062.69</v>
      </c>
      <c r="M131" s="23">
        <v>124</v>
      </c>
      <c r="N131" s="7" t="s">
        <v>240</v>
      </c>
      <c r="O131" s="20" t="s">
        <v>245</v>
      </c>
      <c r="P131" s="20" t="s">
        <v>245</v>
      </c>
      <c r="Q131" s="20" t="s">
        <v>245</v>
      </c>
      <c r="R131" s="21">
        <v>42470</v>
      </c>
      <c r="S131" s="22" t="s">
        <v>246</v>
      </c>
      <c r="T131" s="22">
        <v>2016</v>
      </c>
      <c r="U131" s="21">
        <v>42460</v>
      </c>
      <c r="V131" s="22"/>
    </row>
    <row r="132" spans="1:22" ht="19.5" customHeight="1" x14ac:dyDescent="0.3">
      <c r="A132" s="3">
        <v>2016</v>
      </c>
      <c r="B132" s="4">
        <v>42370</v>
      </c>
      <c r="C132" s="3">
        <v>5000</v>
      </c>
      <c r="D132" s="10" t="s">
        <v>196</v>
      </c>
      <c r="E132" s="6">
        <v>1532447</v>
      </c>
      <c r="F132" s="6">
        <v>9856995.1999999993</v>
      </c>
      <c r="G132" s="6">
        <v>3666006.26</v>
      </c>
      <c r="H132" s="3">
        <v>5100</v>
      </c>
      <c r="I132" s="10" t="s">
        <v>196</v>
      </c>
      <c r="J132" s="6">
        <v>1532447</v>
      </c>
      <c r="K132" s="6">
        <v>9856995.1999999993</v>
      </c>
      <c r="L132" s="6">
        <v>3666006.26</v>
      </c>
      <c r="M132" s="19">
        <v>125</v>
      </c>
      <c r="N132" s="7" t="s">
        <v>240</v>
      </c>
      <c r="O132" s="20" t="s">
        <v>245</v>
      </c>
      <c r="P132" s="20" t="s">
        <v>245</v>
      </c>
      <c r="Q132" s="20" t="s">
        <v>245</v>
      </c>
      <c r="R132" s="21">
        <v>42470</v>
      </c>
      <c r="S132" s="22" t="s">
        <v>246</v>
      </c>
      <c r="T132" s="22">
        <v>2016</v>
      </c>
      <c r="U132" s="21">
        <v>42460</v>
      </c>
      <c r="V132" s="22"/>
    </row>
    <row r="133" spans="1:22" ht="19.5" customHeight="1" x14ac:dyDescent="0.3">
      <c r="A133" s="3">
        <v>2016</v>
      </c>
      <c r="B133" s="4">
        <v>42370</v>
      </c>
      <c r="C133" s="3">
        <v>5000</v>
      </c>
      <c r="D133" s="10" t="s">
        <v>197</v>
      </c>
      <c r="E133" s="6">
        <v>72517.5</v>
      </c>
      <c r="F133" s="6">
        <v>294867.24</v>
      </c>
      <c r="G133" s="6">
        <v>25578</v>
      </c>
      <c r="H133" s="3">
        <v>5100</v>
      </c>
      <c r="I133" s="10" t="s">
        <v>197</v>
      </c>
      <c r="J133" s="6">
        <v>72517.5</v>
      </c>
      <c r="K133" s="6">
        <v>294867.24</v>
      </c>
      <c r="L133" s="6">
        <v>25578</v>
      </c>
      <c r="M133" s="23">
        <v>126</v>
      </c>
      <c r="N133" s="7" t="s">
        <v>240</v>
      </c>
      <c r="O133" s="20" t="s">
        <v>245</v>
      </c>
      <c r="P133" s="20" t="s">
        <v>245</v>
      </c>
      <c r="Q133" s="20" t="s">
        <v>245</v>
      </c>
      <c r="R133" s="21">
        <v>42470</v>
      </c>
      <c r="S133" s="22" t="s">
        <v>246</v>
      </c>
      <c r="T133" s="22">
        <v>2016</v>
      </c>
      <c r="U133" s="21">
        <v>42460</v>
      </c>
      <c r="V133" s="22"/>
    </row>
    <row r="134" spans="1:22" ht="19.5" customHeight="1" x14ac:dyDescent="0.3">
      <c r="A134" s="3">
        <v>2016</v>
      </c>
      <c r="B134" s="4">
        <v>42370</v>
      </c>
      <c r="C134" s="3">
        <v>5000</v>
      </c>
      <c r="D134" s="10" t="s">
        <v>198</v>
      </c>
      <c r="E134" s="6">
        <v>466291.83</v>
      </c>
      <c r="F134" s="6">
        <v>2071686.71</v>
      </c>
      <c r="G134" s="6">
        <v>186802.83</v>
      </c>
      <c r="H134" s="3">
        <v>5200</v>
      </c>
      <c r="I134" s="10" t="s">
        <v>198</v>
      </c>
      <c r="J134" s="6">
        <v>466291.83</v>
      </c>
      <c r="K134" s="6">
        <v>2071686.71</v>
      </c>
      <c r="L134" s="6">
        <v>186802.83</v>
      </c>
      <c r="M134" s="19">
        <v>127</v>
      </c>
      <c r="N134" s="7" t="s">
        <v>240</v>
      </c>
      <c r="O134" s="20" t="s">
        <v>245</v>
      </c>
      <c r="P134" s="20" t="s">
        <v>245</v>
      </c>
      <c r="Q134" s="20" t="s">
        <v>245</v>
      </c>
      <c r="R134" s="21">
        <v>42470</v>
      </c>
      <c r="S134" s="22" t="s">
        <v>246</v>
      </c>
      <c r="T134" s="22">
        <v>2016</v>
      </c>
      <c r="U134" s="21">
        <v>42460</v>
      </c>
      <c r="V134" s="22"/>
    </row>
    <row r="135" spans="1:22" ht="19.5" customHeight="1" x14ac:dyDescent="0.3">
      <c r="A135" s="3">
        <v>2016</v>
      </c>
      <c r="B135" s="4">
        <v>42370</v>
      </c>
      <c r="C135" s="3">
        <v>5000</v>
      </c>
      <c r="D135" s="10" t="s">
        <v>199</v>
      </c>
      <c r="E135" s="6">
        <v>257289.1</v>
      </c>
      <c r="F135" s="6">
        <v>1533393.62</v>
      </c>
      <c r="G135" s="6">
        <v>98706.72</v>
      </c>
      <c r="H135" s="3">
        <v>5200</v>
      </c>
      <c r="I135" s="10" t="s">
        <v>199</v>
      </c>
      <c r="J135" s="6">
        <v>257289.1</v>
      </c>
      <c r="K135" s="6">
        <v>1533393.62</v>
      </c>
      <c r="L135" s="6">
        <v>98706.72</v>
      </c>
      <c r="M135" s="23">
        <v>128</v>
      </c>
      <c r="N135" s="7" t="s">
        <v>240</v>
      </c>
      <c r="O135" s="20" t="s">
        <v>245</v>
      </c>
      <c r="P135" s="20" t="s">
        <v>245</v>
      </c>
      <c r="Q135" s="20" t="s">
        <v>245</v>
      </c>
      <c r="R135" s="21">
        <v>42470</v>
      </c>
      <c r="S135" s="22" t="s">
        <v>246</v>
      </c>
      <c r="T135" s="22">
        <v>2016</v>
      </c>
      <c r="U135" s="21">
        <v>42460</v>
      </c>
      <c r="V135" s="22"/>
    </row>
    <row r="136" spans="1:22" ht="19.5" customHeight="1" x14ac:dyDescent="0.3">
      <c r="A136" s="3">
        <v>2016</v>
      </c>
      <c r="B136" s="4">
        <v>42370</v>
      </c>
      <c r="C136" s="3">
        <v>5000</v>
      </c>
      <c r="D136" s="10" t="s">
        <v>200</v>
      </c>
      <c r="E136" s="6">
        <v>10338</v>
      </c>
      <c r="F136" s="6">
        <v>76458</v>
      </c>
      <c r="G136" s="6">
        <v>66120</v>
      </c>
      <c r="H136" s="3">
        <v>5200</v>
      </c>
      <c r="I136" s="10" t="s">
        <v>200</v>
      </c>
      <c r="J136" s="6">
        <v>10338</v>
      </c>
      <c r="K136" s="6">
        <v>76458</v>
      </c>
      <c r="L136" s="6">
        <v>66120</v>
      </c>
      <c r="M136" s="19">
        <v>129</v>
      </c>
      <c r="N136" s="7" t="s">
        <v>240</v>
      </c>
      <c r="O136" s="20" t="s">
        <v>245</v>
      </c>
      <c r="P136" s="20" t="s">
        <v>245</v>
      </c>
      <c r="Q136" s="20" t="s">
        <v>245</v>
      </c>
      <c r="R136" s="21">
        <v>42470</v>
      </c>
      <c r="S136" s="22" t="s">
        <v>246</v>
      </c>
      <c r="T136" s="22">
        <v>2016</v>
      </c>
      <c r="U136" s="21">
        <v>42460</v>
      </c>
      <c r="V136" s="22"/>
    </row>
    <row r="137" spans="1:22" ht="19.5" customHeight="1" x14ac:dyDescent="0.3">
      <c r="A137" s="3">
        <v>2016</v>
      </c>
      <c r="B137" s="4">
        <v>42370</v>
      </c>
      <c r="C137" s="3">
        <v>5000</v>
      </c>
      <c r="D137" s="10" t="s">
        <v>201</v>
      </c>
      <c r="E137" s="6">
        <v>304598.76</v>
      </c>
      <c r="F137" s="6">
        <v>909848.62</v>
      </c>
      <c r="G137" s="6">
        <v>82379.45</v>
      </c>
      <c r="H137" s="3">
        <v>5300</v>
      </c>
      <c r="I137" s="10" t="s">
        <v>201</v>
      </c>
      <c r="J137" s="6">
        <v>304598.76</v>
      </c>
      <c r="K137" s="6">
        <v>909848.62</v>
      </c>
      <c r="L137" s="6">
        <v>82379.45</v>
      </c>
      <c r="M137" s="23">
        <v>130</v>
      </c>
      <c r="N137" s="7" t="s">
        <v>240</v>
      </c>
      <c r="O137" s="20" t="s">
        <v>245</v>
      </c>
      <c r="P137" s="20" t="s">
        <v>245</v>
      </c>
      <c r="Q137" s="20" t="s">
        <v>245</v>
      </c>
      <c r="R137" s="21">
        <v>42470</v>
      </c>
      <c r="S137" s="22" t="s">
        <v>246</v>
      </c>
      <c r="T137" s="22">
        <v>2016</v>
      </c>
      <c r="U137" s="21">
        <v>42460</v>
      </c>
      <c r="V137" s="22"/>
    </row>
    <row r="138" spans="1:22" ht="19.5" customHeight="1" x14ac:dyDescent="0.3">
      <c r="A138" s="3">
        <v>2016</v>
      </c>
      <c r="B138" s="4">
        <v>42370</v>
      </c>
      <c r="C138" s="3">
        <v>5000</v>
      </c>
      <c r="D138" s="10" t="s">
        <v>202</v>
      </c>
      <c r="E138" s="6">
        <v>1316685.83</v>
      </c>
      <c r="F138" s="6">
        <v>1369222.3</v>
      </c>
      <c r="G138" s="6">
        <v>2818.8</v>
      </c>
      <c r="H138" s="3">
        <v>5300</v>
      </c>
      <c r="I138" s="10" t="s">
        <v>202</v>
      </c>
      <c r="J138" s="6">
        <v>1316685.83</v>
      </c>
      <c r="K138" s="6">
        <v>1369222.3</v>
      </c>
      <c r="L138" s="6">
        <v>2818.8</v>
      </c>
      <c r="M138" s="19">
        <v>131</v>
      </c>
      <c r="N138" s="7" t="s">
        <v>240</v>
      </c>
      <c r="O138" s="20" t="s">
        <v>245</v>
      </c>
      <c r="P138" s="20" t="s">
        <v>245</v>
      </c>
      <c r="Q138" s="20" t="s">
        <v>245</v>
      </c>
      <c r="R138" s="21">
        <v>42470</v>
      </c>
      <c r="S138" s="22" t="s">
        <v>246</v>
      </c>
      <c r="T138" s="22">
        <v>2016</v>
      </c>
      <c r="U138" s="21">
        <v>42460</v>
      </c>
      <c r="V138" s="22"/>
    </row>
    <row r="139" spans="1:22" ht="19.5" customHeight="1" x14ac:dyDescent="0.3">
      <c r="A139" s="3">
        <v>2016</v>
      </c>
      <c r="B139" s="4">
        <v>42370</v>
      </c>
      <c r="C139" s="3">
        <v>5000</v>
      </c>
      <c r="D139" s="7" t="s">
        <v>203</v>
      </c>
      <c r="E139" s="6">
        <v>0</v>
      </c>
      <c r="F139" s="6">
        <v>400000</v>
      </c>
      <c r="G139" s="6">
        <v>0</v>
      </c>
      <c r="H139" s="3">
        <v>5400</v>
      </c>
      <c r="I139" s="7" t="s">
        <v>203</v>
      </c>
      <c r="J139" s="6">
        <v>0</v>
      </c>
      <c r="K139" s="6">
        <v>400000</v>
      </c>
      <c r="L139" s="6">
        <v>0</v>
      </c>
      <c r="M139" s="23">
        <v>132</v>
      </c>
      <c r="N139" s="7" t="s">
        <v>240</v>
      </c>
      <c r="O139" s="20" t="s">
        <v>245</v>
      </c>
      <c r="P139" s="20" t="s">
        <v>245</v>
      </c>
      <c r="Q139" s="20" t="s">
        <v>245</v>
      </c>
      <c r="R139" s="21">
        <v>42470</v>
      </c>
      <c r="S139" s="22" t="s">
        <v>246</v>
      </c>
      <c r="T139" s="22">
        <v>2016</v>
      </c>
      <c r="U139" s="21">
        <v>42460</v>
      </c>
      <c r="V139" s="22"/>
    </row>
    <row r="140" spans="1:22" ht="19.5" customHeight="1" x14ac:dyDescent="0.3">
      <c r="A140" s="3">
        <v>2016</v>
      </c>
      <c r="B140" s="4">
        <v>42370</v>
      </c>
      <c r="C140" s="3">
        <v>5000</v>
      </c>
      <c r="D140" s="7" t="s">
        <v>204</v>
      </c>
      <c r="E140" s="6">
        <v>181488.98</v>
      </c>
      <c r="F140" s="6">
        <v>265524.77</v>
      </c>
      <c r="G140" s="6">
        <v>1480.78</v>
      </c>
      <c r="H140" s="3">
        <v>5600</v>
      </c>
      <c r="I140" s="7" t="s">
        <v>204</v>
      </c>
      <c r="J140" s="6">
        <v>181488.98</v>
      </c>
      <c r="K140" s="6">
        <v>265524.77</v>
      </c>
      <c r="L140" s="6">
        <v>1480.78</v>
      </c>
      <c r="M140" s="19">
        <v>133</v>
      </c>
      <c r="N140" s="7" t="s">
        <v>240</v>
      </c>
      <c r="O140" s="20" t="s">
        <v>245</v>
      </c>
      <c r="P140" s="20" t="s">
        <v>245</v>
      </c>
      <c r="Q140" s="20" t="s">
        <v>245</v>
      </c>
      <c r="R140" s="21">
        <v>42470</v>
      </c>
      <c r="S140" s="22" t="s">
        <v>246</v>
      </c>
      <c r="T140" s="22">
        <v>2016</v>
      </c>
      <c r="U140" s="21">
        <v>42460</v>
      </c>
      <c r="V140" s="22"/>
    </row>
    <row r="141" spans="1:22" ht="19.5" customHeight="1" x14ac:dyDescent="0.3">
      <c r="A141" s="3">
        <v>2016</v>
      </c>
      <c r="B141" s="4">
        <v>42370</v>
      </c>
      <c r="C141" s="3">
        <v>5000</v>
      </c>
      <c r="D141" s="7" t="s">
        <v>205</v>
      </c>
      <c r="E141" s="6">
        <v>0</v>
      </c>
      <c r="F141" s="6">
        <v>31794.01</v>
      </c>
      <c r="G141" s="6">
        <v>0</v>
      </c>
      <c r="H141" s="3">
        <v>5600</v>
      </c>
      <c r="I141" s="7" t="s">
        <v>205</v>
      </c>
      <c r="J141" s="6">
        <v>0</v>
      </c>
      <c r="K141" s="6">
        <v>31794.01</v>
      </c>
      <c r="L141" s="6">
        <v>0</v>
      </c>
      <c r="M141" s="23">
        <v>134</v>
      </c>
      <c r="N141" s="7" t="s">
        <v>240</v>
      </c>
      <c r="O141" s="20" t="s">
        <v>245</v>
      </c>
      <c r="P141" s="20" t="s">
        <v>245</v>
      </c>
      <c r="Q141" s="20" t="s">
        <v>245</v>
      </c>
      <c r="R141" s="21">
        <v>42470</v>
      </c>
      <c r="S141" s="22" t="s">
        <v>246</v>
      </c>
      <c r="T141" s="22">
        <v>2016</v>
      </c>
      <c r="U141" s="21">
        <v>42460</v>
      </c>
      <c r="V141" s="22"/>
    </row>
    <row r="142" spans="1:22" ht="19.5" customHeight="1" x14ac:dyDescent="0.3">
      <c r="A142" s="3">
        <v>2016</v>
      </c>
      <c r="B142" s="4">
        <v>42370</v>
      </c>
      <c r="C142" s="3">
        <v>5000</v>
      </c>
      <c r="D142" s="7" t="s">
        <v>206</v>
      </c>
      <c r="E142" s="6">
        <v>41484.94</v>
      </c>
      <c r="F142" s="6">
        <v>271564.89</v>
      </c>
      <c r="G142" s="6">
        <v>166936.76</v>
      </c>
      <c r="H142" s="3">
        <v>5600</v>
      </c>
      <c r="I142" s="7" t="s">
        <v>206</v>
      </c>
      <c r="J142" s="6">
        <v>41484.94</v>
      </c>
      <c r="K142" s="6">
        <v>271564.89</v>
      </c>
      <c r="L142" s="6">
        <v>166936.76</v>
      </c>
      <c r="M142" s="19">
        <v>135</v>
      </c>
      <c r="N142" s="7" t="s">
        <v>240</v>
      </c>
      <c r="O142" s="20" t="s">
        <v>245</v>
      </c>
      <c r="P142" s="20" t="s">
        <v>245</v>
      </c>
      <c r="Q142" s="20" t="s">
        <v>245</v>
      </c>
      <c r="R142" s="21">
        <v>42470</v>
      </c>
      <c r="S142" s="22" t="s">
        <v>246</v>
      </c>
      <c r="T142" s="22">
        <v>2016</v>
      </c>
      <c r="U142" s="21">
        <v>42460</v>
      </c>
      <c r="V142" s="22"/>
    </row>
    <row r="143" spans="1:22" ht="19.5" customHeight="1" x14ac:dyDescent="0.3">
      <c r="A143" s="3">
        <v>2016</v>
      </c>
      <c r="B143" s="4">
        <v>42370</v>
      </c>
      <c r="C143" s="3">
        <v>5000</v>
      </c>
      <c r="D143" s="7" t="s">
        <v>207</v>
      </c>
      <c r="E143" s="6">
        <v>12324.56</v>
      </c>
      <c r="F143" s="6">
        <v>2305883.7599999998</v>
      </c>
      <c r="G143" s="6">
        <v>284999.99</v>
      </c>
      <c r="H143" s="3">
        <v>5600</v>
      </c>
      <c r="I143" s="7" t="s">
        <v>207</v>
      </c>
      <c r="J143" s="6">
        <v>12324.56</v>
      </c>
      <c r="K143" s="6">
        <v>2305883.7599999998</v>
      </c>
      <c r="L143" s="6">
        <v>284999.99</v>
      </c>
      <c r="M143" s="23">
        <v>136</v>
      </c>
      <c r="N143" s="7" t="s">
        <v>240</v>
      </c>
      <c r="O143" s="20" t="s">
        <v>245</v>
      </c>
      <c r="P143" s="20" t="s">
        <v>245</v>
      </c>
      <c r="Q143" s="20" t="s">
        <v>245</v>
      </c>
      <c r="R143" s="21">
        <v>42470</v>
      </c>
      <c r="S143" s="22" t="s">
        <v>246</v>
      </c>
      <c r="T143" s="22">
        <v>2016</v>
      </c>
      <c r="U143" s="21">
        <v>42460</v>
      </c>
      <c r="V143" s="22"/>
    </row>
    <row r="144" spans="1:22" ht="19.5" customHeight="1" x14ac:dyDescent="0.3">
      <c r="A144" s="3">
        <v>2016</v>
      </c>
      <c r="B144" s="4">
        <v>42370</v>
      </c>
      <c r="C144" s="3">
        <v>5000</v>
      </c>
      <c r="D144" s="7" t="s">
        <v>208</v>
      </c>
      <c r="E144" s="6">
        <v>0</v>
      </c>
      <c r="F144" s="6">
        <v>146589.43</v>
      </c>
      <c r="G144" s="6">
        <v>22835.42</v>
      </c>
      <c r="H144" s="3">
        <v>5600</v>
      </c>
      <c r="I144" s="7" t="s">
        <v>208</v>
      </c>
      <c r="J144" s="6">
        <v>0</v>
      </c>
      <c r="K144" s="6">
        <v>146589.43</v>
      </c>
      <c r="L144" s="6">
        <v>22835.42</v>
      </c>
      <c r="M144" s="19">
        <v>137</v>
      </c>
      <c r="N144" s="7" t="s">
        <v>240</v>
      </c>
      <c r="O144" s="20" t="s">
        <v>245</v>
      </c>
      <c r="P144" s="20" t="s">
        <v>245</v>
      </c>
      <c r="Q144" s="20" t="s">
        <v>245</v>
      </c>
      <c r="R144" s="21">
        <v>42470</v>
      </c>
      <c r="S144" s="22" t="s">
        <v>246</v>
      </c>
      <c r="T144" s="22">
        <v>2016</v>
      </c>
      <c r="U144" s="21">
        <v>42460</v>
      </c>
      <c r="V144" s="22"/>
    </row>
    <row r="145" spans="1:22" ht="19.5" customHeight="1" x14ac:dyDescent="0.3">
      <c r="A145" s="3">
        <v>2016</v>
      </c>
      <c r="B145" s="4">
        <v>42370</v>
      </c>
      <c r="C145" s="3">
        <v>5000</v>
      </c>
      <c r="D145" s="7" t="s">
        <v>209</v>
      </c>
      <c r="E145" s="6">
        <v>3200</v>
      </c>
      <c r="F145" s="6">
        <v>168066</v>
      </c>
      <c r="G145" s="6">
        <v>0</v>
      </c>
      <c r="H145" s="3">
        <v>5600</v>
      </c>
      <c r="I145" s="7" t="s">
        <v>209</v>
      </c>
      <c r="J145" s="6">
        <v>3200</v>
      </c>
      <c r="K145" s="6">
        <v>168066</v>
      </c>
      <c r="L145" s="6">
        <v>0</v>
      </c>
      <c r="M145" s="23">
        <v>138</v>
      </c>
      <c r="N145" s="7" t="s">
        <v>240</v>
      </c>
      <c r="O145" s="20" t="s">
        <v>245</v>
      </c>
      <c r="P145" s="20" t="s">
        <v>245</v>
      </c>
      <c r="Q145" s="20" t="s">
        <v>245</v>
      </c>
      <c r="R145" s="21">
        <v>42470</v>
      </c>
      <c r="S145" s="22" t="s">
        <v>246</v>
      </c>
      <c r="T145" s="22">
        <v>2016</v>
      </c>
      <c r="U145" s="21">
        <v>42460</v>
      </c>
      <c r="V145" s="22"/>
    </row>
    <row r="146" spans="1:22" ht="19.5" customHeight="1" x14ac:dyDescent="0.3">
      <c r="A146" s="3">
        <v>2016</v>
      </c>
      <c r="B146" s="4">
        <v>42370</v>
      </c>
      <c r="C146" s="3">
        <v>5000</v>
      </c>
      <c r="D146" s="7" t="s">
        <v>210</v>
      </c>
      <c r="E146" s="6">
        <v>19368</v>
      </c>
      <c r="F146" s="6">
        <v>401358.61</v>
      </c>
      <c r="G146" s="6">
        <v>47676</v>
      </c>
      <c r="H146" s="3">
        <v>5600</v>
      </c>
      <c r="I146" s="7" t="s">
        <v>210</v>
      </c>
      <c r="J146" s="6">
        <v>19368</v>
      </c>
      <c r="K146" s="6">
        <v>401358.61</v>
      </c>
      <c r="L146" s="6">
        <v>47676</v>
      </c>
      <c r="M146" s="19">
        <v>139</v>
      </c>
      <c r="N146" s="7" t="s">
        <v>240</v>
      </c>
      <c r="O146" s="20" t="s">
        <v>245</v>
      </c>
      <c r="P146" s="20" t="s">
        <v>245</v>
      </c>
      <c r="Q146" s="20" t="s">
        <v>245</v>
      </c>
      <c r="R146" s="21">
        <v>42470</v>
      </c>
      <c r="S146" s="22" t="s">
        <v>246</v>
      </c>
      <c r="T146" s="22">
        <v>2016</v>
      </c>
      <c r="U146" s="21">
        <v>42460</v>
      </c>
      <c r="V146" s="22"/>
    </row>
    <row r="147" spans="1:22" ht="19.5" customHeight="1" x14ac:dyDescent="0.3">
      <c r="A147" s="3">
        <v>2016</v>
      </c>
      <c r="B147" s="4">
        <v>42370</v>
      </c>
      <c r="C147" s="3">
        <v>5000</v>
      </c>
      <c r="D147" s="7" t="s">
        <v>211</v>
      </c>
      <c r="E147" s="6">
        <v>0</v>
      </c>
      <c r="F147" s="6">
        <v>31000000</v>
      </c>
      <c r="G147" s="6">
        <v>0</v>
      </c>
      <c r="H147" s="3">
        <v>5800</v>
      </c>
      <c r="I147" s="7" t="s">
        <v>211</v>
      </c>
      <c r="J147" s="6">
        <v>0</v>
      </c>
      <c r="K147" s="6">
        <v>31000000</v>
      </c>
      <c r="L147" s="6">
        <v>0</v>
      </c>
      <c r="M147" s="23">
        <v>140</v>
      </c>
      <c r="N147" s="7" t="s">
        <v>240</v>
      </c>
      <c r="O147" s="20" t="s">
        <v>245</v>
      </c>
      <c r="P147" s="20" t="s">
        <v>245</v>
      </c>
      <c r="Q147" s="20" t="s">
        <v>245</v>
      </c>
      <c r="R147" s="21">
        <v>42470</v>
      </c>
      <c r="S147" s="22" t="s">
        <v>246</v>
      </c>
      <c r="T147" s="22">
        <v>2016</v>
      </c>
      <c r="U147" s="21">
        <v>42460</v>
      </c>
      <c r="V147" s="22"/>
    </row>
    <row r="148" spans="1:22" ht="19.5" customHeight="1" x14ac:dyDescent="0.3">
      <c r="A148" s="3">
        <v>2016</v>
      </c>
      <c r="B148" s="4">
        <v>42370</v>
      </c>
      <c r="C148" s="3">
        <v>5000</v>
      </c>
      <c r="D148" s="7" t="s">
        <v>212</v>
      </c>
      <c r="E148" s="6">
        <v>171190</v>
      </c>
      <c r="F148" s="6">
        <v>208980</v>
      </c>
      <c r="G148" s="6">
        <v>0</v>
      </c>
      <c r="H148" s="3">
        <v>5900</v>
      </c>
      <c r="I148" s="7" t="s">
        <v>212</v>
      </c>
      <c r="J148" s="6">
        <v>171190</v>
      </c>
      <c r="K148" s="6">
        <v>208980</v>
      </c>
      <c r="L148" s="6">
        <v>0</v>
      </c>
      <c r="M148" s="19">
        <v>141</v>
      </c>
      <c r="N148" s="7" t="s">
        <v>240</v>
      </c>
      <c r="O148" s="20" t="s">
        <v>245</v>
      </c>
      <c r="P148" s="20" t="s">
        <v>245</v>
      </c>
      <c r="Q148" s="20" t="s">
        <v>245</v>
      </c>
      <c r="R148" s="21">
        <v>42470</v>
      </c>
      <c r="S148" s="22" t="s">
        <v>246</v>
      </c>
      <c r="T148" s="22">
        <v>2016</v>
      </c>
      <c r="U148" s="21">
        <v>42460</v>
      </c>
      <c r="V148" s="22"/>
    </row>
    <row r="149" spans="1:22" ht="19.5" customHeight="1" x14ac:dyDescent="0.3">
      <c r="A149" s="3">
        <v>2016</v>
      </c>
      <c r="B149" s="4">
        <v>42370</v>
      </c>
      <c r="C149" s="3">
        <v>5000</v>
      </c>
      <c r="D149" s="7" t="s">
        <v>213</v>
      </c>
      <c r="E149" s="6">
        <v>10000</v>
      </c>
      <c r="F149" s="6">
        <v>0</v>
      </c>
      <c r="G149" s="6">
        <v>0</v>
      </c>
      <c r="H149" s="3">
        <v>5900</v>
      </c>
      <c r="I149" s="7" t="s">
        <v>213</v>
      </c>
      <c r="J149" s="6">
        <v>10000</v>
      </c>
      <c r="K149" s="6">
        <v>0</v>
      </c>
      <c r="L149" s="6">
        <v>0</v>
      </c>
      <c r="M149" s="23">
        <v>142</v>
      </c>
      <c r="N149" s="7" t="s">
        <v>240</v>
      </c>
      <c r="O149" s="20" t="s">
        <v>245</v>
      </c>
      <c r="P149" s="20" t="s">
        <v>245</v>
      </c>
      <c r="Q149" s="20" t="s">
        <v>245</v>
      </c>
      <c r="R149" s="21">
        <v>42470</v>
      </c>
      <c r="S149" s="22" t="s">
        <v>246</v>
      </c>
      <c r="T149" s="22">
        <v>2016</v>
      </c>
      <c r="U149" s="21">
        <v>42460</v>
      </c>
      <c r="V149" s="22"/>
    </row>
    <row r="150" spans="1:22" ht="19.5" customHeight="1" x14ac:dyDescent="0.3">
      <c r="A150" s="3">
        <v>2016</v>
      </c>
      <c r="B150" s="4">
        <v>42461</v>
      </c>
      <c r="C150" s="3">
        <v>1000</v>
      </c>
      <c r="D150" s="7" t="s">
        <v>72</v>
      </c>
      <c r="E150" s="6">
        <v>313287673.25</v>
      </c>
      <c r="F150" s="6">
        <v>313287673.25</v>
      </c>
      <c r="G150" s="6">
        <v>164351604.03999999</v>
      </c>
      <c r="H150" s="3">
        <v>1100</v>
      </c>
      <c r="I150" s="7" t="s">
        <v>72</v>
      </c>
      <c r="J150" s="6">
        <v>313287673.25</v>
      </c>
      <c r="K150" s="6">
        <v>313287673.25</v>
      </c>
      <c r="L150" s="6">
        <v>164351604.03999999</v>
      </c>
      <c r="M150" s="19">
        <v>143</v>
      </c>
      <c r="N150" s="7" t="s">
        <v>236</v>
      </c>
      <c r="O150" s="20" t="s">
        <v>245</v>
      </c>
      <c r="P150" s="20" t="s">
        <v>245</v>
      </c>
      <c r="Q150" s="20" t="s">
        <v>245</v>
      </c>
      <c r="R150" s="21">
        <v>42561</v>
      </c>
      <c r="S150" s="22" t="s">
        <v>246</v>
      </c>
      <c r="T150" s="22">
        <v>2016</v>
      </c>
      <c r="U150" s="21">
        <v>42551</v>
      </c>
      <c r="V150" s="22"/>
    </row>
    <row r="151" spans="1:22" ht="19.5" customHeight="1" x14ac:dyDescent="0.3">
      <c r="A151" s="3">
        <v>2016</v>
      </c>
      <c r="B151" s="4">
        <v>42461</v>
      </c>
      <c r="C151" s="3">
        <v>1000</v>
      </c>
      <c r="D151" s="7" t="s">
        <v>73</v>
      </c>
      <c r="E151" s="6">
        <v>11046346.859999999</v>
      </c>
      <c r="F151" s="6">
        <v>11046346.859999999</v>
      </c>
      <c r="G151" s="6">
        <v>4259985.25</v>
      </c>
      <c r="H151" s="3">
        <v>1200</v>
      </c>
      <c r="I151" s="7" t="s">
        <v>73</v>
      </c>
      <c r="J151" s="6">
        <v>11046346.859999999</v>
      </c>
      <c r="K151" s="6">
        <v>11046346.859999999</v>
      </c>
      <c r="L151" s="6">
        <v>4259985.25</v>
      </c>
      <c r="M151" s="23">
        <v>144</v>
      </c>
      <c r="N151" s="7" t="s">
        <v>236</v>
      </c>
      <c r="O151" s="20" t="s">
        <v>245</v>
      </c>
      <c r="P151" s="20" t="s">
        <v>245</v>
      </c>
      <c r="Q151" s="20" t="s">
        <v>245</v>
      </c>
      <c r="R151" s="21">
        <v>42561</v>
      </c>
      <c r="S151" s="22" t="s">
        <v>246</v>
      </c>
      <c r="T151" s="22">
        <v>2016</v>
      </c>
      <c r="U151" s="21">
        <v>42551</v>
      </c>
      <c r="V151" s="22"/>
    </row>
    <row r="152" spans="1:22" ht="19.5" customHeight="1" x14ac:dyDescent="0.3">
      <c r="A152" s="3">
        <v>2016</v>
      </c>
      <c r="B152" s="4">
        <v>42461</v>
      </c>
      <c r="C152" s="3">
        <v>1000</v>
      </c>
      <c r="D152" s="7" t="s">
        <v>74</v>
      </c>
      <c r="E152" s="6">
        <v>0</v>
      </c>
      <c r="F152" s="6">
        <v>0</v>
      </c>
      <c r="G152" s="6">
        <v>10770.96</v>
      </c>
      <c r="H152" s="3">
        <v>1300</v>
      </c>
      <c r="I152" s="7" t="s">
        <v>74</v>
      </c>
      <c r="J152" s="6">
        <v>0</v>
      </c>
      <c r="K152" s="6">
        <v>0</v>
      </c>
      <c r="L152" s="6">
        <v>10770.96</v>
      </c>
      <c r="M152" s="19">
        <v>145</v>
      </c>
      <c r="N152" s="7" t="s">
        <v>236</v>
      </c>
      <c r="O152" s="20" t="s">
        <v>245</v>
      </c>
      <c r="P152" s="20" t="s">
        <v>245</v>
      </c>
      <c r="Q152" s="20" t="s">
        <v>245</v>
      </c>
      <c r="R152" s="21">
        <v>42561</v>
      </c>
      <c r="S152" s="22" t="s">
        <v>246</v>
      </c>
      <c r="T152" s="22">
        <v>2016</v>
      </c>
      <c r="U152" s="21">
        <v>42551</v>
      </c>
      <c r="V152" s="22"/>
    </row>
    <row r="153" spans="1:22" ht="19.5" customHeight="1" x14ac:dyDescent="0.3">
      <c r="A153" s="3">
        <v>2016</v>
      </c>
      <c r="B153" s="4">
        <v>42461</v>
      </c>
      <c r="C153" s="3">
        <v>1000</v>
      </c>
      <c r="D153" s="8" t="s">
        <v>75</v>
      </c>
      <c r="E153" s="6">
        <v>29170916.25</v>
      </c>
      <c r="F153" s="6">
        <v>29170916.25</v>
      </c>
      <c r="G153" s="6">
        <v>14097907.710000001</v>
      </c>
      <c r="H153" s="3">
        <v>1300</v>
      </c>
      <c r="I153" s="8" t="s">
        <v>75</v>
      </c>
      <c r="J153" s="6">
        <v>29170916.25</v>
      </c>
      <c r="K153" s="6">
        <v>29170916.25</v>
      </c>
      <c r="L153" s="6">
        <v>14097907.710000001</v>
      </c>
      <c r="M153" s="23">
        <v>146</v>
      </c>
      <c r="N153" s="7" t="s">
        <v>236</v>
      </c>
      <c r="O153" s="20" t="s">
        <v>245</v>
      </c>
      <c r="P153" s="20" t="s">
        <v>245</v>
      </c>
      <c r="Q153" s="20" t="s">
        <v>245</v>
      </c>
      <c r="R153" s="21">
        <v>42561</v>
      </c>
      <c r="S153" s="22" t="s">
        <v>246</v>
      </c>
      <c r="T153" s="22">
        <v>2016</v>
      </c>
      <c r="U153" s="21">
        <v>42551</v>
      </c>
      <c r="V153" s="22"/>
    </row>
    <row r="154" spans="1:22" ht="19.5" customHeight="1" x14ac:dyDescent="0.3">
      <c r="A154" s="3">
        <v>2016</v>
      </c>
      <c r="B154" s="4">
        <v>42461</v>
      </c>
      <c r="C154" s="3">
        <v>1000</v>
      </c>
      <c r="D154" s="8" t="s">
        <v>76</v>
      </c>
      <c r="E154" s="6">
        <v>33344246.120000001</v>
      </c>
      <c r="F154" s="6">
        <v>33344246.120000001</v>
      </c>
      <c r="G154" s="6">
        <f>128462.72+2424.44</f>
        <v>130887.16</v>
      </c>
      <c r="H154" s="3">
        <v>1300</v>
      </c>
      <c r="I154" s="8" t="s">
        <v>76</v>
      </c>
      <c r="J154" s="6">
        <v>33344246.120000001</v>
      </c>
      <c r="K154" s="6">
        <v>33344246.120000001</v>
      </c>
      <c r="L154" s="6">
        <f>128462.72+2424.44</f>
        <v>130887.16</v>
      </c>
      <c r="M154" s="19">
        <v>147</v>
      </c>
      <c r="N154" s="7" t="s">
        <v>236</v>
      </c>
      <c r="O154" s="20" t="s">
        <v>245</v>
      </c>
      <c r="P154" s="20" t="s">
        <v>245</v>
      </c>
      <c r="Q154" s="20" t="s">
        <v>245</v>
      </c>
      <c r="R154" s="21">
        <v>42561</v>
      </c>
      <c r="S154" s="22" t="s">
        <v>246</v>
      </c>
      <c r="T154" s="22">
        <v>2016</v>
      </c>
      <c r="U154" s="21">
        <v>42551</v>
      </c>
      <c r="V154" s="22"/>
    </row>
    <row r="155" spans="1:22" ht="19.5" customHeight="1" x14ac:dyDescent="0.3">
      <c r="A155" s="3">
        <v>2016</v>
      </c>
      <c r="B155" s="4">
        <v>42461</v>
      </c>
      <c r="C155" s="3">
        <v>1000</v>
      </c>
      <c r="D155" s="8" t="s">
        <v>77</v>
      </c>
      <c r="E155" s="6">
        <v>630000</v>
      </c>
      <c r="F155" s="6">
        <v>630000</v>
      </c>
      <c r="G155" s="6">
        <v>545623.67000000004</v>
      </c>
      <c r="H155" s="3">
        <v>1300</v>
      </c>
      <c r="I155" s="8" t="s">
        <v>77</v>
      </c>
      <c r="J155" s="6">
        <v>630000</v>
      </c>
      <c r="K155" s="6">
        <v>630000</v>
      </c>
      <c r="L155" s="6">
        <v>545623.67000000004</v>
      </c>
      <c r="M155" s="23">
        <v>148</v>
      </c>
      <c r="N155" s="7" t="s">
        <v>236</v>
      </c>
      <c r="O155" s="20" t="s">
        <v>245</v>
      </c>
      <c r="P155" s="20" t="s">
        <v>245</v>
      </c>
      <c r="Q155" s="20" t="s">
        <v>245</v>
      </c>
      <c r="R155" s="21">
        <v>42561</v>
      </c>
      <c r="S155" s="22" t="s">
        <v>246</v>
      </c>
      <c r="T155" s="22">
        <v>2016</v>
      </c>
      <c r="U155" s="21">
        <v>42551</v>
      </c>
      <c r="V155" s="22"/>
    </row>
    <row r="156" spans="1:22" ht="19.5" customHeight="1" x14ac:dyDescent="0.3">
      <c r="A156" s="3">
        <v>2016</v>
      </c>
      <c r="B156" s="4">
        <v>42461</v>
      </c>
      <c r="C156" s="3">
        <v>1000</v>
      </c>
      <c r="D156" s="8" t="s">
        <v>78</v>
      </c>
      <c r="E156" s="6">
        <v>210000</v>
      </c>
      <c r="F156" s="6">
        <v>210000</v>
      </c>
      <c r="G156" s="6">
        <v>46776</v>
      </c>
      <c r="H156" s="3">
        <v>1300</v>
      </c>
      <c r="I156" s="8" t="s">
        <v>78</v>
      </c>
      <c r="J156" s="6">
        <v>210000</v>
      </c>
      <c r="K156" s="6">
        <v>210000</v>
      </c>
      <c r="L156" s="6">
        <v>46776</v>
      </c>
      <c r="M156" s="19">
        <v>149</v>
      </c>
      <c r="N156" s="7" t="s">
        <v>236</v>
      </c>
      <c r="O156" s="20" t="s">
        <v>245</v>
      </c>
      <c r="P156" s="20" t="s">
        <v>245</v>
      </c>
      <c r="Q156" s="20" t="s">
        <v>245</v>
      </c>
      <c r="R156" s="21">
        <v>42561</v>
      </c>
      <c r="S156" s="22" t="s">
        <v>246</v>
      </c>
      <c r="T156" s="22">
        <v>2016</v>
      </c>
      <c r="U156" s="21">
        <v>42551</v>
      </c>
      <c r="V156" s="22"/>
    </row>
    <row r="157" spans="1:22" ht="19.5" customHeight="1" x14ac:dyDescent="0.3">
      <c r="A157" s="3">
        <v>2016</v>
      </c>
      <c r="B157" s="4">
        <v>42461</v>
      </c>
      <c r="C157" s="3">
        <v>1000</v>
      </c>
      <c r="D157" s="9" t="s">
        <v>79</v>
      </c>
      <c r="E157" s="6">
        <v>29919791.989999998</v>
      </c>
      <c r="F157" s="6">
        <v>29919791.989999998</v>
      </c>
      <c r="G157" s="6">
        <v>8161410.0999999996</v>
      </c>
      <c r="H157" s="3">
        <v>1400</v>
      </c>
      <c r="I157" s="9" t="s">
        <v>79</v>
      </c>
      <c r="J157" s="6">
        <v>29919791.989999998</v>
      </c>
      <c r="K157" s="6">
        <v>29919791.989999998</v>
      </c>
      <c r="L157" s="6">
        <v>8161410.0999999996</v>
      </c>
      <c r="M157" s="23">
        <v>150</v>
      </c>
      <c r="N157" s="7" t="s">
        <v>236</v>
      </c>
      <c r="O157" s="20" t="s">
        <v>245</v>
      </c>
      <c r="P157" s="20" t="s">
        <v>245</v>
      </c>
      <c r="Q157" s="20" t="s">
        <v>245</v>
      </c>
      <c r="R157" s="21">
        <v>42561</v>
      </c>
      <c r="S157" s="22" t="s">
        <v>246</v>
      </c>
      <c r="T157" s="22">
        <v>2016</v>
      </c>
      <c r="U157" s="21">
        <v>42551</v>
      </c>
      <c r="V157" s="22"/>
    </row>
    <row r="158" spans="1:22" ht="19.5" customHeight="1" x14ac:dyDescent="0.3">
      <c r="A158" s="3">
        <v>2016</v>
      </c>
      <c r="B158" s="4">
        <v>42461</v>
      </c>
      <c r="C158" s="3">
        <v>1000</v>
      </c>
      <c r="D158" s="9" t="s">
        <v>80</v>
      </c>
      <c r="E158" s="6">
        <v>15004910.73</v>
      </c>
      <c r="F158" s="6">
        <v>15004910.73</v>
      </c>
      <c r="G158" s="6">
        <v>1953472.16</v>
      </c>
      <c r="H158" s="3">
        <v>1400</v>
      </c>
      <c r="I158" s="9" t="s">
        <v>80</v>
      </c>
      <c r="J158" s="6">
        <v>15004910.73</v>
      </c>
      <c r="K158" s="6">
        <v>15004910.73</v>
      </c>
      <c r="L158" s="6">
        <v>1953472.16</v>
      </c>
      <c r="M158" s="19">
        <v>151</v>
      </c>
      <c r="N158" s="7" t="s">
        <v>236</v>
      </c>
      <c r="O158" s="20" t="s">
        <v>245</v>
      </c>
      <c r="P158" s="20" t="s">
        <v>245</v>
      </c>
      <c r="Q158" s="20" t="s">
        <v>245</v>
      </c>
      <c r="R158" s="21">
        <v>42561</v>
      </c>
      <c r="S158" s="22" t="s">
        <v>246</v>
      </c>
      <c r="T158" s="22">
        <v>2016</v>
      </c>
      <c r="U158" s="21">
        <v>42551</v>
      </c>
      <c r="V158" s="22"/>
    </row>
    <row r="159" spans="1:22" ht="19.5" customHeight="1" x14ac:dyDescent="0.3">
      <c r="A159" s="3">
        <v>2016</v>
      </c>
      <c r="B159" s="4">
        <v>42461</v>
      </c>
      <c r="C159" s="3">
        <v>1000</v>
      </c>
      <c r="D159" s="9" t="s">
        <v>81</v>
      </c>
      <c r="E159" s="6">
        <v>16212582.550000001</v>
      </c>
      <c r="F159" s="6">
        <v>16212582.550000001</v>
      </c>
      <c r="G159" s="6">
        <v>2235894.85</v>
      </c>
      <c r="H159" s="3">
        <v>1400</v>
      </c>
      <c r="I159" s="9" t="s">
        <v>81</v>
      </c>
      <c r="J159" s="6">
        <v>16212582.550000001</v>
      </c>
      <c r="K159" s="6">
        <v>16212582.550000001</v>
      </c>
      <c r="L159" s="6">
        <v>2235894.85</v>
      </c>
      <c r="M159" s="23">
        <v>152</v>
      </c>
      <c r="N159" s="7" t="s">
        <v>236</v>
      </c>
      <c r="O159" s="20" t="s">
        <v>245</v>
      </c>
      <c r="P159" s="20" t="s">
        <v>245</v>
      </c>
      <c r="Q159" s="20" t="s">
        <v>245</v>
      </c>
      <c r="R159" s="21">
        <v>42561</v>
      </c>
      <c r="S159" s="22" t="s">
        <v>246</v>
      </c>
      <c r="T159" s="22">
        <v>2016</v>
      </c>
      <c r="U159" s="21">
        <v>42551</v>
      </c>
      <c r="V159" s="22"/>
    </row>
    <row r="160" spans="1:22" ht="19.5" customHeight="1" x14ac:dyDescent="0.3">
      <c r="A160" s="3">
        <v>2016</v>
      </c>
      <c r="B160" s="4">
        <v>42461</v>
      </c>
      <c r="C160" s="3">
        <v>1000</v>
      </c>
      <c r="D160" s="9" t="s">
        <v>82</v>
      </c>
      <c r="E160" s="6">
        <v>14794007.189999999</v>
      </c>
      <c r="F160" s="6">
        <v>14794007.189999999</v>
      </c>
      <c r="G160" s="6">
        <v>5475868.1799999997</v>
      </c>
      <c r="H160" s="3">
        <v>1400</v>
      </c>
      <c r="I160" s="9" t="s">
        <v>82</v>
      </c>
      <c r="J160" s="6">
        <v>14794007.189999999</v>
      </c>
      <c r="K160" s="6">
        <v>14794007.189999999</v>
      </c>
      <c r="L160" s="6">
        <v>5475868.1799999997</v>
      </c>
      <c r="M160" s="19">
        <v>153</v>
      </c>
      <c r="N160" s="7" t="s">
        <v>236</v>
      </c>
      <c r="O160" s="20" t="s">
        <v>245</v>
      </c>
      <c r="P160" s="20" t="s">
        <v>245</v>
      </c>
      <c r="Q160" s="20" t="s">
        <v>245</v>
      </c>
      <c r="R160" s="21">
        <v>42561</v>
      </c>
      <c r="S160" s="22" t="s">
        <v>246</v>
      </c>
      <c r="T160" s="22">
        <v>2016</v>
      </c>
      <c r="U160" s="21">
        <v>42551</v>
      </c>
      <c r="V160" s="22"/>
    </row>
    <row r="161" spans="1:22" ht="19.5" customHeight="1" x14ac:dyDescent="0.3">
      <c r="A161" s="3">
        <v>2016</v>
      </c>
      <c r="B161" s="4">
        <v>42461</v>
      </c>
      <c r="C161" s="3">
        <v>1000</v>
      </c>
      <c r="D161" s="9" t="s">
        <v>83</v>
      </c>
      <c r="E161" s="6">
        <v>1036899.45</v>
      </c>
      <c r="F161" s="6">
        <v>1036899.45</v>
      </c>
      <c r="G161" s="6">
        <v>0</v>
      </c>
      <c r="H161" s="3">
        <v>1400</v>
      </c>
      <c r="I161" s="9" t="s">
        <v>83</v>
      </c>
      <c r="J161" s="6">
        <v>1036899.45</v>
      </c>
      <c r="K161" s="6">
        <v>1036899.45</v>
      </c>
      <c r="L161" s="6">
        <v>0</v>
      </c>
      <c r="M161" s="23">
        <v>154</v>
      </c>
      <c r="N161" s="7" t="s">
        <v>236</v>
      </c>
      <c r="O161" s="20" t="s">
        <v>245</v>
      </c>
      <c r="P161" s="20" t="s">
        <v>245</v>
      </c>
      <c r="Q161" s="20" t="s">
        <v>245</v>
      </c>
      <c r="R161" s="21">
        <v>42561</v>
      </c>
      <c r="S161" s="22" t="s">
        <v>246</v>
      </c>
      <c r="T161" s="22">
        <v>2016</v>
      </c>
      <c r="U161" s="21">
        <v>42551</v>
      </c>
      <c r="V161" s="22"/>
    </row>
    <row r="162" spans="1:22" ht="19.5" customHeight="1" x14ac:dyDescent="0.3">
      <c r="A162" s="3">
        <v>2016</v>
      </c>
      <c r="B162" s="4">
        <v>42461</v>
      </c>
      <c r="C162" s="3">
        <v>1000</v>
      </c>
      <c r="D162" s="9" t="s">
        <v>84</v>
      </c>
      <c r="E162" s="6">
        <v>0</v>
      </c>
      <c r="F162" s="6">
        <v>0</v>
      </c>
      <c r="G162" s="6">
        <v>544666.36</v>
      </c>
      <c r="H162" s="3">
        <v>1500</v>
      </c>
      <c r="I162" s="9" t="s">
        <v>84</v>
      </c>
      <c r="J162" s="6">
        <v>0</v>
      </c>
      <c r="K162" s="6">
        <v>0</v>
      </c>
      <c r="L162" s="6">
        <v>544666.36</v>
      </c>
      <c r="M162" s="19">
        <v>155</v>
      </c>
      <c r="N162" s="7" t="s">
        <v>236</v>
      </c>
      <c r="O162" s="20" t="s">
        <v>245</v>
      </c>
      <c r="P162" s="20" t="s">
        <v>245</v>
      </c>
      <c r="Q162" s="20" t="s">
        <v>245</v>
      </c>
      <c r="R162" s="21">
        <v>42561</v>
      </c>
      <c r="S162" s="22" t="s">
        <v>246</v>
      </c>
      <c r="T162" s="22">
        <v>2016</v>
      </c>
      <c r="U162" s="21">
        <v>42551</v>
      </c>
      <c r="V162" s="22"/>
    </row>
    <row r="163" spans="1:22" ht="19.5" customHeight="1" x14ac:dyDescent="0.3">
      <c r="A163" s="3">
        <v>2016</v>
      </c>
      <c r="B163" s="4">
        <v>42461</v>
      </c>
      <c r="C163" s="3">
        <v>1000</v>
      </c>
      <c r="D163" s="9" t="s">
        <v>85</v>
      </c>
      <c r="E163" s="6">
        <v>6007116.7999999998</v>
      </c>
      <c r="F163" s="6">
        <f>6007116.8+3719990.33</f>
        <v>9727107.129999999</v>
      </c>
      <c r="G163" s="6">
        <f>841650.32+3719990.33</f>
        <v>4561640.6500000004</v>
      </c>
      <c r="H163" s="3">
        <v>1500</v>
      </c>
      <c r="I163" s="9" t="s">
        <v>85</v>
      </c>
      <c r="J163" s="6">
        <v>6007116.7999999998</v>
      </c>
      <c r="K163" s="6">
        <f>6007116.8+3719990.33</f>
        <v>9727107.129999999</v>
      </c>
      <c r="L163" s="6">
        <f>841650.32+3719990.33</f>
        <v>4561640.6500000004</v>
      </c>
      <c r="M163" s="23">
        <v>156</v>
      </c>
      <c r="N163" s="7" t="s">
        <v>236</v>
      </c>
      <c r="O163" s="20" t="s">
        <v>245</v>
      </c>
      <c r="P163" s="20" t="s">
        <v>245</v>
      </c>
      <c r="Q163" s="20" t="s">
        <v>245</v>
      </c>
      <c r="R163" s="21">
        <v>42561</v>
      </c>
      <c r="S163" s="22" t="s">
        <v>246</v>
      </c>
      <c r="T163" s="22">
        <v>2016</v>
      </c>
      <c r="U163" s="21">
        <v>42551</v>
      </c>
      <c r="V163" s="22"/>
    </row>
    <row r="164" spans="1:22" ht="19.5" customHeight="1" x14ac:dyDescent="0.3">
      <c r="A164" s="3">
        <v>2016</v>
      </c>
      <c r="B164" s="4">
        <v>42461</v>
      </c>
      <c r="C164" s="3">
        <v>1000</v>
      </c>
      <c r="D164" s="9" t="s">
        <v>86</v>
      </c>
      <c r="E164" s="6">
        <v>150000</v>
      </c>
      <c r="F164" s="6">
        <v>150000</v>
      </c>
      <c r="G164" s="6">
        <v>38647.800000000003</v>
      </c>
      <c r="H164" s="3">
        <v>1500</v>
      </c>
      <c r="I164" s="9" t="s">
        <v>86</v>
      </c>
      <c r="J164" s="6">
        <v>150000</v>
      </c>
      <c r="K164" s="6">
        <v>150000</v>
      </c>
      <c r="L164" s="6">
        <v>38647.800000000003</v>
      </c>
      <c r="M164" s="19">
        <v>157</v>
      </c>
      <c r="N164" s="7" t="s">
        <v>236</v>
      </c>
      <c r="O164" s="20" t="s">
        <v>245</v>
      </c>
      <c r="P164" s="20" t="s">
        <v>245</v>
      </c>
      <c r="Q164" s="20" t="s">
        <v>245</v>
      </c>
      <c r="R164" s="21">
        <v>42561</v>
      </c>
      <c r="S164" s="22" t="s">
        <v>246</v>
      </c>
      <c r="T164" s="22">
        <v>2016</v>
      </c>
      <c r="U164" s="21">
        <v>42551</v>
      </c>
      <c r="V164" s="22"/>
    </row>
    <row r="165" spans="1:22" ht="19.5" customHeight="1" x14ac:dyDescent="0.3">
      <c r="A165" s="3">
        <v>2016</v>
      </c>
      <c r="B165" s="4">
        <v>42461</v>
      </c>
      <c r="C165" s="3">
        <v>1000</v>
      </c>
      <c r="D165" s="9" t="s">
        <v>87</v>
      </c>
      <c r="E165" s="6">
        <v>615000</v>
      </c>
      <c r="F165" s="6">
        <v>615000</v>
      </c>
      <c r="G165" s="6">
        <v>269345.59999999998</v>
      </c>
      <c r="H165" s="3">
        <v>1500</v>
      </c>
      <c r="I165" s="9" t="s">
        <v>87</v>
      </c>
      <c r="J165" s="6">
        <v>615000</v>
      </c>
      <c r="K165" s="6">
        <v>615000</v>
      </c>
      <c r="L165" s="6">
        <v>269345.59999999998</v>
      </c>
      <c r="M165" s="23">
        <v>158</v>
      </c>
      <c r="N165" s="7" t="s">
        <v>236</v>
      </c>
      <c r="O165" s="20" t="s">
        <v>245</v>
      </c>
      <c r="P165" s="20" t="s">
        <v>245</v>
      </c>
      <c r="Q165" s="20" t="s">
        <v>245</v>
      </c>
      <c r="R165" s="21">
        <v>42561</v>
      </c>
      <c r="S165" s="22" t="s">
        <v>246</v>
      </c>
      <c r="T165" s="22">
        <v>2016</v>
      </c>
      <c r="U165" s="21">
        <v>42551</v>
      </c>
      <c r="V165" s="22"/>
    </row>
    <row r="166" spans="1:22" ht="19.5" customHeight="1" x14ac:dyDescent="0.3">
      <c r="A166" s="3">
        <v>2016</v>
      </c>
      <c r="B166" s="4">
        <v>42461</v>
      </c>
      <c r="C166" s="3">
        <v>1000</v>
      </c>
      <c r="D166" s="9" t="s">
        <v>88</v>
      </c>
      <c r="E166" s="6">
        <v>120017944.8</v>
      </c>
      <c r="F166" s="6">
        <v>119352767.8</v>
      </c>
      <c r="G166" s="6">
        <v>34708952.609999999</v>
      </c>
      <c r="H166" s="3">
        <v>1500</v>
      </c>
      <c r="I166" s="9" t="s">
        <v>88</v>
      </c>
      <c r="J166" s="6">
        <v>120017944.8</v>
      </c>
      <c r="K166" s="6">
        <v>119352767.8</v>
      </c>
      <c r="L166" s="6">
        <v>34708952.609999999</v>
      </c>
      <c r="M166" s="19">
        <v>159</v>
      </c>
      <c r="N166" s="7" t="s">
        <v>236</v>
      </c>
      <c r="O166" s="20" t="s">
        <v>245</v>
      </c>
      <c r="P166" s="20" t="s">
        <v>245</v>
      </c>
      <c r="Q166" s="20" t="s">
        <v>245</v>
      </c>
      <c r="R166" s="21">
        <v>42561</v>
      </c>
      <c r="S166" s="22" t="s">
        <v>246</v>
      </c>
      <c r="T166" s="22">
        <v>2016</v>
      </c>
      <c r="U166" s="21">
        <v>42551</v>
      </c>
      <c r="V166" s="22"/>
    </row>
    <row r="167" spans="1:22" ht="19.5" customHeight="1" x14ac:dyDescent="0.3">
      <c r="A167" s="3">
        <v>2016</v>
      </c>
      <c r="B167" s="4">
        <v>42461</v>
      </c>
      <c r="C167" s="3">
        <v>1000</v>
      </c>
      <c r="D167" s="9" t="s">
        <v>89</v>
      </c>
      <c r="E167" s="6">
        <v>841200</v>
      </c>
      <c r="F167" s="6">
        <v>841200</v>
      </c>
      <c r="G167" s="6">
        <v>365200</v>
      </c>
      <c r="H167" s="3">
        <v>1500</v>
      </c>
      <c r="I167" s="9" t="s">
        <v>89</v>
      </c>
      <c r="J167" s="6">
        <v>841200</v>
      </c>
      <c r="K167" s="6">
        <v>841200</v>
      </c>
      <c r="L167" s="6">
        <v>365200</v>
      </c>
      <c r="M167" s="23">
        <v>160</v>
      </c>
      <c r="N167" s="7" t="s">
        <v>236</v>
      </c>
      <c r="O167" s="20" t="s">
        <v>245</v>
      </c>
      <c r="P167" s="20" t="s">
        <v>245</v>
      </c>
      <c r="Q167" s="20" t="s">
        <v>245</v>
      </c>
      <c r="R167" s="21">
        <v>42561</v>
      </c>
      <c r="S167" s="22" t="s">
        <v>246</v>
      </c>
      <c r="T167" s="22">
        <v>2016</v>
      </c>
      <c r="U167" s="21">
        <v>42551</v>
      </c>
      <c r="V167" s="22"/>
    </row>
    <row r="168" spans="1:22" ht="19.5" customHeight="1" x14ac:dyDescent="0.3">
      <c r="A168" s="3">
        <v>2016</v>
      </c>
      <c r="B168" s="4">
        <v>42461</v>
      </c>
      <c r="C168" s="3">
        <v>1000</v>
      </c>
      <c r="D168" s="7" t="s">
        <v>90</v>
      </c>
      <c r="E168" s="6">
        <v>359652</v>
      </c>
      <c r="F168" s="6">
        <v>359652</v>
      </c>
      <c r="G168" s="6">
        <v>0</v>
      </c>
      <c r="H168" s="3">
        <v>1500</v>
      </c>
      <c r="I168" s="7" t="s">
        <v>90</v>
      </c>
      <c r="J168" s="6">
        <v>359652</v>
      </c>
      <c r="K168" s="6">
        <v>359652</v>
      </c>
      <c r="L168" s="6">
        <v>0</v>
      </c>
      <c r="M168" s="19">
        <v>161</v>
      </c>
      <c r="N168" s="7" t="s">
        <v>236</v>
      </c>
      <c r="O168" s="20" t="s">
        <v>245</v>
      </c>
      <c r="P168" s="20" t="s">
        <v>245</v>
      </c>
      <c r="Q168" s="20" t="s">
        <v>245</v>
      </c>
      <c r="R168" s="21">
        <v>42561</v>
      </c>
      <c r="S168" s="22" t="s">
        <v>246</v>
      </c>
      <c r="T168" s="22">
        <v>2016</v>
      </c>
      <c r="U168" s="21">
        <v>42551</v>
      </c>
      <c r="V168" s="22"/>
    </row>
    <row r="169" spans="1:22" ht="19.5" customHeight="1" x14ac:dyDescent="0.3">
      <c r="A169" s="3">
        <v>2016</v>
      </c>
      <c r="B169" s="4">
        <v>42461</v>
      </c>
      <c r="C169" s="3">
        <v>1000</v>
      </c>
      <c r="D169" s="7" t="s">
        <v>91</v>
      </c>
      <c r="E169" s="6">
        <f>273868426.69+150000000</f>
        <v>423868426.69</v>
      </c>
      <c r="F169" s="6">
        <f>273868426.69+150000000</f>
        <v>423868426.69</v>
      </c>
      <c r="G169" s="6">
        <v>196150790.83000001</v>
      </c>
      <c r="H169" s="3">
        <v>1500</v>
      </c>
      <c r="I169" s="7" t="s">
        <v>91</v>
      </c>
      <c r="J169" s="6">
        <f>273868426.69+150000000</f>
        <v>423868426.69</v>
      </c>
      <c r="K169" s="6">
        <f>273868426.69+150000000</f>
        <v>423868426.69</v>
      </c>
      <c r="L169" s="6">
        <v>196150790.83000001</v>
      </c>
      <c r="M169" s="23">
        <v>162</v>
      </c>
      <c r="N169" s="7" t="s">
        <v>236</v>
      </c>
      <c r="O169" s="20" t="s">
        <v>245</v>
      </c>
      <c r="P169" s="20" t="s">
        <v>245</v>
      </c>
      <c r="Q169" s="20" t="s">
        <v>245</v>
      </c>
      <c r="R169" s="21">
        <v>42561</v>
      </c>
      <c r="S169" s="22" t="s">
        <v>246</v>
      </c>
      <c r="T169" s="22">
        <v>2016</v>
      </c>
      <c r="U169" s="21">
        <v>42551</v>
      </c>
      <c r="V169" s="22"/>
    </row>
    <row r="170" spans="1:22" ht="19.5" customHeight="1" x14ac:dyDescent="0.3">
      <c r="A170" s="3">
        <v>2016</v>
      </c>
      <c r="B170" s="4">
        <v>42461</v>
      </c>
      <c r="C170" s="3">
        <v>1000</v>
      </c>
      <c r="D170" s="7" t="s">
        <v>92</v>
      </c>
      <c r="E170" s="6">
        <v>0</v>
      </c>
      <c r="F170" s="6">
        <v>0</v>
      </c>
      <c r="G170" s="6">
        <f>19526.83+7560.89</f>
        <v>27087.72</v>
      </c>
      <c r="H170" s="3">
        <v>1500</v>
      </c>
      <c r="I170" s="7" t="s">
        <v>92</v>
      </c>
      <c r="J170" s="6">
        <v>0</v>
      </c>
      <c r="K170" s="6">
        <v>0</v>
      </c>
      <c r="L170" s="6">
        <f>19526.83+7560.89</f>
        <v>27087.72</v>
      </c>
      <c r="M170" s="19">
        <v>163</v>
      </c>
      <c r="N170" s="7" t="s">
        <v>236</v>
      </c>
      <c r="O170" s="20" t="s">
        <v>245</v>
      </c>
      <c r="P170" s="20" t="s">
        <v>245</v>
      </c>
      <c r="Q170" s="20" t="s">
        <v>245</v>
      </c>
      <c r="R170" s="21">
        <v>42561</v>
      </c>
      <c r="S170" s="22" t="s">
        <v>246</v>
      </c>
      <c r="T170" s="22">
        <v>2016</v>
      </c>
      <c r="U170" s="21">
        <v>42551</v>
      </c>
      <c r="V170" s="22"/>
    </row>
    <row r="171" spans="1:22" ht="19.5" customHeight="1" x14ac:dyDescent="0.3">
      <c r="A171" s="3">
        <v>2016</v>
      </c>
      <c r="B171" s="4">
        <v>42461</v>
      </c>
      <c r="C171" s="3">
        <v>2000</v>
      </c>
      <c r="D171" s="9" t="s">
        <v>93</v>
      </c>
      <c r="E171" s="6">
        <v>2635826.1</v>
      </c>
      <c r="F171" s="6">
        <v>2528604.44</v>
      </c>
      <c r="G171" s="6">
        <v>45899.92</v>
      </c>
      <c r="H171" s="3">
        <v>2100</v>
      </c>
      <c r="I171" s="9" t="s">
        <v>93</v>
      </c>
      <c r="J171" s="6">
        <v>2635826.1</v>
      </c>
      <c r="K171" s="6">
        <v>2528604.44</v>
      </c>
      <c r="L171" s="6">
        <v>45899.92</v>
      </c>
      <c r="M171" s="23">
        <v>164</v>
      </c>
      <c r="N171" s="7" t="s">
        <v>237</v>
      </c>
      <c r="O171" s="20" t="s">
        <v>245</v>
      </c>
      <c r="P171" s="20" t="s">
        <v>245</v>
      </c>
      <c r="Q171" s="20" t="s">
        <v>245</v>
      </c>
      <c r="R171" s="21">
        <v>42561</v>
      </c>
      <c r="S171" s="22" t="s">
        <v>246</v>
      </c>
      <c r="T171" s="22">
        <v>2016</v>
      </c>
      <c r="U171" s="21">
        <v>42551</v>
      </c>
      <c r="V171" s="22"/>
    </row>
    <row r="172" spans="1:22" ht="19.5" customHeight="1" x14ac:dyDescent="0.3">
      <c r="A172" s="3">
        <v>2016</v>
      </c>
      <c r="B172" s="4">
        <v>42461</v>
      </c>
      <c r="C172" s="3">
        <v>2000</v>
      </c>
      <c r="D172" s="9" t="s">
        <v>94</v>
      </c>
      <c r="E172" s="6">
        <v>2756274</v>
      </c>
      <c r="F172" s="6">
        <v>2782100.2</v>
      </c>
      <c r="G172" s="6">
        <v>26626.13</v>
      </c>
      <c r="H172" s="3">
        <v>2100</v>
      </c>
      <c r="I172" s="9" t="s">
        <v>94</v>
      </c>
      <c r="J172" s="6">
        <v>2756274</v>
      </c>
      <c r="K172" s="6">
        <v>2782100.2</v>
      </c>
      <c r="L172" s="6">
        <v>26626.13</v>
      </c>
      <c r="M172" s="19">
        <v>165</v>
      </c>
      <c r="N172" s="7" t="s">
        <v>237</v>
      </c>
      <c r="O172" s="20" t="s">
        <v>245</v>
      </c>
      <c r="P172" s="20" t="s">
        <v>245</v>
      </c>
      <c r="Q172" s="20" t="s">
        <v>245</v>
      </c>
      <c r="R172" s="21">
        <v>42561</v>
      </c>
      <c r="S172" s="22" t="s">
        <v>246</v>
      </c>
      <c r="T172" s="22">
        <v>2016</v>
      </c>
      <c r="U172" s="21">
        <v>42551</v>
      </c>
      <c r="V172" s="22"/>
    </row>
    <row r="173" spans="1:22" ht="19.5" customHeight="1" x14ac:dyDescent="0.3">
      <c r="A173" s="3">
        <v>2016</v>
      </c>
      <c r="B173" s="4">
        <v>42461</v>
      </c>
      <c r="C173" s="3">
        <v>2000</v>
      </c>
      <c r="D173" s="9" t="s">
        <v>95</v>
      </c>
      <c r="E173" s="6">
        <v>4704498.9400000004</v>
      </c>
      <c r="F173" s="6">
        <v>8933209.1099999994</v>
      </c>
      <c r="G173" s="6">
        <v>94641.43</v>
      </c>
      <c r="H173" s="3">
        <v>2100</v>
      </c>
      <c r="I173" s="9" t="s">
        <v>95</v>
      </c>
      <c r="J173" s="6">
        <v>4704498.9400000004</v>
      </c>
      <c r="K173" s="6">
        <v>8933209.1099999994</v>
      </c>
      <c r="L173" s="6">
        <v>94641.43</v>
      </c>
      <c r="M173" s="23">
        <v>166</v>
      </c>
      <c r="N173" s="7" t="s">
        <v>237</v>
      </c>
      <c r="O173" s="20" t="s">
        <v>245</v>
      </c>
      <c r="P173" s="20" t="s">
        <v>245</v>
      </c>
      <c r="Q173" s="20" t="s">
        <v>245</v>
      </c>
      <c r="R173" s="21">
        <v>42561</v>
      </c>
      <c r="S173" s="22" t="s">
        <v>246</v>
      </c>
      <c r="T173" s="22">
        <v>2016</v>
      </c>
      <c r="U173" s="21">
        <v>42551</v>
      </c>
      <c r="V173" s="22"/>
    </row>
    <row r="174" spans="1:22" ht="19.5" customHeight="1" x14ac:dyDescent="0.3">
      <c r="A174" s="3">
        <v>2016</v>
      </c>
      <c r="B174" s="4">
        <v>42461</v>
      </c>
      <c r="C174" s="3">
        <v>2000</v>
      </c>
      <c r="D174" s="9" t="s">
        <v>96</v>
      </c>
      <c r="E174" s="6">
        <v>1379230</v>
      </c>
      <c r="F174" s="6">
        <v>1698835.2</v>
      </c>
      <c r="G174" s="6">
        <v>287387.65000000002</v>
      </c>
      <c r="H174" s="3">
        <v>2100</v>
      </c>
      <c r="I174" s="9" t="s">
        <v>96</v>
      </c>
      <c r="J174" s="6">
        <v>1379230</v>
      </c>
      <c r="K174" s="6">
        <v>1698835.2</v>
      </c>
      <c r="L174" s="6">
        <v>287387.65000000002</v>
      </c>
      <c r="M174" s="19">
        <v>167</v>
      </c>
      <c r="N174" s="7" t="s">
        <v>237</v>
      </c>
      <c r="O174" s="20" t="s">
        <v>245</v>
      </c>
      <c r="P174" s="20" t="s">
        <v>245</v>
      </c>
      <c r="Q174" s="20" t="s">
        <v>245</v>
      </c>
      <c r="R174" s="21">
        <v>42561</v>
      </c>
      <c r="S174" s="22" t="s">
        <v>246</v>
      </c>
      <c r="T174" s="22">
        <v>2016</v>
      </c>
      <c r="U174" s="21">
        <v>42551</v>
      </c>
      <c r="V174" s="22"/>
    </row>
    <row r="175" spans="1:22" ht="19.5" customHeight="1" x14ac:dyDescent="0.3">
      <c r="A175" s="3">
        <v>2016</v>
      </c>
      <c r="B175" s="4">
        <v>42461</v>
      </c>
      <c r="C175" s="3">
        <v>2000</v>
      </c>
      <c r="D175" s="9" t="s">
        <v>97</v>
      </c>
      <c r="E175" s="6">
        <v>1803200</v>
      </c>
      <c r="F175" s="6">
        <v>1737095.68</v>
      </c>
      <c r="G175" s="6">
        <v>1342389.82</v>
      </c>
      <c r="H175" s="3">
        <v>2100</v>
      </c>
      <c r="I175" s="9" t="s">
        <v>97</v>
      </c>
      <c r="J175" s="6">
        <v>1803200</v>
      </c>
      <c r="K175" s="6">
        <v>1737095.68</v>
      </c>
      <c r="L175" s="6">
        <v>1342389.82</v>
      </c>
      <c r="M175" s="23">
        <v>168</v>
      </c>
      <c r="N175" s="7" t="s">
        <v>237</v>
      </c>
      <c r="O175" s="20" t="s">
        <v>245</v>
      </c>
      <c r="P175" s="20" t="s">
        <v>245</v>
      </c>
      <c r="Q175" s="20" t="s">
        <v>245</v>
      </c>
      <c r="R175" s="21">
        <v>42561</v>
      </c>
      <c r="S175" s="22" t="s">
        <v>246</v>
      </c>
      <c r="T175" s="22">
        <v>2016</v>
      </c>
      <c r="U175" s="21">
        <v>42551</v>
      </c>
      <c r="V175" s="22"/>
    </row>
    <row r="176" spans="1:22" ht="19.5" customHeight="1" x14ac:dyDescent="0.3">
      <c r="A176" s="3">
        <v>2016</v>
      </c>
      <c r="B176" s="4">
        <v>42461</v>
      </c>
      <c r="C176" s="3">
        <v>2000</v>
      </c>
      <c r="D176" s="9" t="s">
        <v>98</v>
      </c>
      <c r="E176" s="6">
        <v>268699.95</v>
      </c>
      <c r="F176" s="6">
        <v>269286.15000000002</v>
      </c>
      <c r="G176" s="6">
        <v>28586.2</v>
      </c>
      <c r="H176" s="3">
        <v>2100</v>
      </c>
      <c r="I176" s="9" t="s">
        <v>98</v>
      </c>
      <c r="J176" s="6">
        <v>268699.95</v>
      </c>
      <c r="K176" s="6">
        <v>269286.15000000002</v>
      </c>
      <c r="L176" s="6">
        <v>28586.2</v>
      </c>
      <c r="M176" s="19">
        <v>169</v>
      </c>
      <c r="N176" s="7" t="s">
        <v>237</v>
      </c>
      <c r="O176" s="20" t="s">
        <v>245</v>
      </c>
      <c r="P176" s="20" t="s">
        <v>245</v>
      </c>
      <c r="Q176" s="20" t="s">
        <v>245</v>
      </c>
      <c r="R176" s="21">
        <v>42561</v>
      </c>
      <c r="S176" s="22" t="s">
        <v>246</v>
      </c>
      <c r="T176" s="22">
        <v>2016</v>
      </c>
      <c r="U176" s="21">
        <v>42551</v>
      </c>
      <c r="V176" s="22"/>
    </row>
    <row r="177" spans="1:22" ht="19.5" customHeight="1" x14ac:dyDescent="0.3">
      <c r="A177" s="3">
        <v>2016</v>
      </c>
      <c r="B177" s="4">
        <v>42461</v>
      </c>
      <c r="C177" s="3">
        <v>2000</v>
      </c>
      <c r="D177" s="7" t="s">
        <v>99</v>
      </c>
      <c r="E177" s="6">
        <v>116000</v>
      </c>
      <c r="F177" s="6">
        <v>116000</v>
      </c>
      <c r="G177" s="6">
        <v>0</v>
      </c>
      <c r="H177" s="3">
        <v>2100</v>
      </c>
      <c r="I177" s="7" t="s">
        <v>99</v>
      </c>
      <c r="J177" s="6">
        <v>116000</v>
      </c>
      <c r="K177" s="6">
        <v>116000</v>
      </c>
      <c r="L177" s="6">
        <v>0</v>
      </c>
      <c r="M177" s="23">
        <v>170</v>
      </c>
      <c r="N177" s="7" t="s">
        <v>237</v>
      </c>
      <c r="O177" s="20" t="s">
        <v>245</v>
      </c>
      <c r="P177" s="20" t="s">
        <v>245</v>
      </c>
      <c r="Q177" s="20" t="s">
        <v>245</v>
      </c>
      <c r="R177" s="21">
        <v>42561</v>
      </c>
      <c r="S177" s="22" t="s">
        <v>246</v>
      </c>
      <c r="T177" s="22">
        <v>2016</v>
      </c>
      <c r="U177" s="21">
        <v>42551</v>
      </c>
      <c r="V177" s="22"/>
    </row>
    <row r="178" spans="1:22" ht="19.5" customHeight="1" x14ac:dyDescent="0.3">
      <c r="A178" s="3">
        <v>2016</v>
      </c>
      <c r="B178" s="4">
        <v>42461</v>
      </c>
      <c r="C178" s="3">
        <v>2000</v>
      </c>
      <c r="D178" s="9" t="s">
        <v>100</v>
      </c>
      <c r="E178" s="6">
        <v>13474660.039999999</v>
      </c>
      <c r="F178" s="6">
        <v>15146560.289999999</v>
      </c>
      <c r="G178" s="6">
        <v>6473532.7199999997</v>
      </c>
      <c r="H178" s="3">
        <v>2200</v>
      </c>
      <c r="I178" s="9" t="s">
        <v>100</v>
      </c>
      <c r="J178" s="6">
        <v>13474660.039999999</v>
      </c>
      <c r="K178" s="6">
        <v>15146560.289999999</v>
      </c>
      <c r="L178" s="6">
        <v>6473532.7199999997</v>
      </c>
      <c r="M178" s="19">
        <v>171</v>
      </c>
      <c r="N178" s="7" t="s">
        <v>237</v>
      </c>
      <c r="O178" s="20" t="s">
        <v>245</v>
      </c>
      <c r="P178" s="20" t="s">
        <v>245</v>
      </c>
      <c r="Q178" s="20" t="s">
        <v>245</v>
      </c>
      <c r="R178" s="21">
        <v>42561</v>
      </c>
      <c r="S178" s="22" t="s">
        <v>246</v>
      </c>
      <c r="T178" s="22">
        <v>2016</v>
      </c>
      <c r="U178" s="21">
        <v>42551</v>
      </c>
      <c r="V178" s="22"/>
    </row>
    <row r="179" spans="1:22" ht="19.5" customHeight="1" x14ac:dyDescent="0.3">
      <c r="A179" s="3">
        <v>2016</v>
      </c>
      <c r="B179" s="4">
        <v>42461</v>
      </c>
      <c r="C179" s="3">
        <v>2000</v>
      </c>
      <c r="D179" s="9" t="s">
        <v>101</v>
      </c>
      <c r="E179" s="6">
        <v>17079.2</v>
      </c>
      <c r="F179" s="6">
        <v>877829.61</v>
      </c>
      <c r="G179" s="6">
        <v>722176.16</v>
      </c>
      <c r="H179" s="3">
        <v>200</v>
      </c>
      <c r="I179" s="9" t="s">
        <v>101</v>
      </c>
      <c r="J179" s="6">
        <v>17079.2</v>
      </c>
      <c r="K179" s="6">
        <v>877829.61</v>
      </c>
      <c r="L179" s="6">
        <v>722176.16</v>
      </c>
      <c r="M179" s="23">
        <v>172</v>
      </c>
      <c r="N179" s="7" t="s">
        <v>237</v>
      </c>
      <c r="O179" s="20" t="s">
        <v>245</v>
      </c>
      <c r="P179" s="20" t="s">
        <v>245</v>
      </c>
      <c r="Q179" s="20" t="s">
        <v>245</v>
      </c>
      <c r="R179" s="21">
        <v>42561</v>
      </c>
      <c r="S179" s="22" t="s">
        <v>246</v>
      </c>
      <c r="T179" s="22">
        <v>2016</v>
      </c>
      <c r="U179" s="21">
        <v>42551</v>
      </c>
      <c r="V179" s="22"/>
    </row>
    <row r="180" spans="1:22" ht="19.5" customHeight="1" x14ac:dyDescent="0.3">
      <c r="A180" s="3">
        <v>2016</v>
      </c>
      <c r="B180" s="4">
        <v>42461</v>
      </c>
      <c r="C180" s="3">
        <v>2000</v>
      </c>
      <c r="D180" s="7" t="s">
        <v>102</v>
      </c>
      <c r="E180" s="6">
        <v>1650</v>
      </c>
      <c r="F180" s="6">
        <v>1650</v>
      </c>
      <c r="G180" s="6">
        <v>0</v>
      </c>
      <c r="H180" s="3">
        <v>2300</v>
      </c>
      <c r="I180" s="7" t="s">
        <v>102</v>
      </c>
      <c r="J180" s="6">
        <v>1650</v>
      </c>
      <c r="K180" s="6">
        <v>1650</v>
      </c>
      <c r="L180" s="6">
        <v>0</v>
      </c>
      <c r="M180" s="19">
        <v>173</v>
      </c>
      <c r="N180" s="7" t="s">
        <v>237</v>
      </c>
      <c r="O180" s="20" t="s">
        <v>245</v>
      </c>
      <c r="P180" s="20" t="s">
        <v>245</v>
      </c>
      <c r="Q180" s="20" t="s">
        <v>245</v>
      </c>
      <c r="R180" s="21">
        <v>42561</v>
      </c>
      <c r="S180" s="22" t="s">
        <v>246</v>
      </c>
      <c r="T180" s="22">
        <v>2016</v>
      </c>
      <c r="U180" s="21">
        <v>42551</v>
      </c>
      <c r="V180" s="22"/>
    </row>
    <row r="181" spans="1:22" ht="19.5" customHeight="1" x14ac:dyDescent="0.3">
      <c r="A181" s="3">
        <v>2016</v>
      </c>
      <c r="B181" s="4">
        <v>42461</v>
      </c>
      <c r="C181" s="3">
        <v>2000</v>
      </c>
      <c r="D181" s="7" t="s">
        <v>103</v>
      </c>
      <c r="E181" s="6">
        <v>0</v>
      </c>
      <c r="F181" s="6">
        <v>128992</v>
      </c>
      <c r="G181" s="6">
        <v>58941.33</v>
      </c>
      <c r="H181" s="3">
        <v>2300</v>
      </c>
      <c r="I181" s="7" t="s">
        <v>103</v>
      </c>
      <c r="J181" s="6">
        <v>0</v>
      </c>
      <c r="K181" s="6">
        <v>128992</v>
      </c>
      <c r="L181" s="6">
        <v>58941.33</v>
      </c>
      <c r="M181" s="23">
        <v>174</v>
      </c>
      <c r="N181" s="7" t="s">
        <v>237</v>
      </c>
      <c r="O181" s="20" t="s">
        <v>245</v>
      </c>
      <c r="P181" s="20" t="s">
        <v>245</v>
      </c>
      <c r="Q181" s="20" t="s">
        <v>245</v>
      </c>
      <c r="R181" s="21">
        <v>42561</v>
      </c>
      <c r="S181" s="22" t="s">
        <v>246</v>
      </c>
      <c r="T181" s="22">
        <v>2016</v>
      </c>
      <c r="U181" s="21">
        <v>42551</v>
      </c>
      <c r="V181" s="22"/>
    </row>
    <row r="182" spans="1:22" ht="19.5" customHeight="1" x14ac:dyDescent="0.3">
      <c r="A182" s="3">
        <v>2016</v>
      </c>
      <c r="B182" s="4">
        <v>42461</v>
      </c>
      <c r="C182" s="3">
        <v>2000</v>
      </c>
      <c r="D182" s="7" t="s">
        <v>104</v>
      </c>
      <c r="E182" s="6">
        <v>470800</v>
      </c>
      <c r="F182" s="6">
        <v>431185.04</v>
      </c>
      <c r="G182" s="6">
        <v>206329.74</v>
      </c>
      <c r="H182" s="3">
        <v>2300</v>
      </c>
      <c r="I182" s="7" t="s">
        <v>104</v>
      </c>
      <c r="J182" s="6">
        <v>470800</v>
      </c>
      <c r="K182" s="6">
        <v>431185.04</v>
      </c>
      <c r="L182" s="6">
        <v>206329.74</v>
      </c>
      <c r="M182" s="19">
        <v>175</v>
      </c>
      <c r="N182" s="7" t="s">
        <v>237</v>
      </c>
      <c r="O182" s="20" t="s">
        <v>245</v>
      </c>
      <c r="P182" s="20" t="s">
        <v>245</v>
      </c>
      <c r="Q182" s="20" t="s">
        <v>245</v>
      </c>
      <c r="R182" s="21">
        <v>42561</v>
      </c>
      <c r="S182" s="22" t="s">
        <v>246</v>
      </c>
      <c r="T182" s="22">
        <v>2016</v>
      </c>
      <c r="U182" s="21">
        <v>42551</v>
      </c>
      <c r="V182" s="22"/>
    </row>
    <row r="183" spans="1:22" ht="19.5" customHeight="1" x14ac:dyDescent="0.3">
      <c r="A183" s="3">
        <v>2016</v>
      </c>
      <c r="B183" s="4">
        <v>42461</v>
      </c>
      <c r="C183" s="3">
        <v>2000</v>
      </c>
      <c r="D183" s="7" t="s">
        <v>105</v>
      </c>
      <c r="E183" s="6">
        <v>102000</v>
      </c>
      <c r="F183" s="6">
        <v>102000</v>
      </c>
      <c r="G183" s="6">
        <v>0</v>
      </c>
      <c r="H183" s="3">
        <v>2300</v>
      </c>
      <c r="I183" s="7" t="s">
        <v>105</v>
      </c>
      <c r="J183" s="6">
        <v>102000</v>
      </c>
      <c r="K183" s="6">
        <v>102000</v>
      </c>
      <c r="L183" s="6">
        <v>0</v>
      </c>
      <c r="M183" s="23">
        <v>176</v>
      </c>
      <c r="N183" s="7" t="s">
        <v>237</v>
      </c>
      <c r="O183" s="20" t="s">
        <v>245</v>
      </c>
      <c r="P183" s="20" t="s">
        <v>245</v>
      </c>
      <c r="Q183" s="20" t="s">
        <v>245</v>
      </c>
      <c r="R183" s="21">
        <v>42561</v>
      </c>
      <c r="S183" s="22" t="s">
        <v>246</v>
      </c>
      <c r="T183" s="22">
        <v>2016</v>
      </c>
      <c r="U183" s="21">
        <v>42551</v>
      </c>
      <c r="V183" s="22"/>
    </row>
    <row r="184" spans="1:22" ht="19.5" customHeight="1" x14ac:dyDescent="0.3">
      <c r="A184" s="3">
        <v>2016</v>
      </c>
      <c r="B184" s="4">
        <v>42461</v>
      </c>
      <c r="C184" s="3">
        <v>2000</v>
      </c>
      <c r="D184" s="7" t="s">
        <v>106</v>
      </c>
      <c r="E184" s="6">
        <v>0</v>
      </c>
      <c r="F184" s="6">
        <v>41470</v>
      </c>
      <c r="G184" s="6">
        <v>41470</v>
      </c>
      <c r="H184" s="3">
        <v>2400</v>
      </c>
      <c r="I184" s="7" t="s">
        <v>106</v>
      </c>
      <c r="J184" s="6">
        <v>0</v>
      </c>
      <c r="K184" s="6">
        <v>41470</v>
      </c>
      <c r="L184" s="6">
        <v>41470</v>
      </c>
      <c r="M184" s="19">
        <v>177</v>
      </c>
      <c r="N184" s="7" t="s">
        <v>237</v>
      </c>
      <c r="O184" s="20" t="s">
        <v>245</v>
      </c>
      <c r="P184" s="20" t="s">
        <v>245</v>
      </c>
      <c r="Q184" s="20" t="s">
        <v>245</v>
      </c>
      <c r="R184" s="21">
        <v>42561</v>
      </c>
      <c r="S184" s="22" t="s">
        <v>246</v>
      </c>
      <c r="T184" s="22">
        <v>2016</v>
      </c>
      <c r="U184" s="21">
        <v>42551</v>
      </c>
      <c r="V184" s="22"/>
    </row>
    <row r="185" spans="1:22" ht="19.5" customHeight="1" x14ac:dyDescent="0.3">
      <c r="A185" s="3">
        <v>2016</v>
      </c>
      <c r="B185" s="4">
        <v>42461</v>
      </c>
      <c r="C185" s="3">
        <v>2000</v>
      </c>
      <c r="D185" s="7" t="s">
        <v>107</v>
      </c>
      <c r="E185" s="6">
        <v>32500</v>
      </c>
      <c r="F185" s="6">
        <v>37803.22</v>
      </c>
      <c r="G185" s="6">
        <v>32803.22</v>
      </c>
      <c r="H185" s="3">
        <v>2400</v>
      </c>
      <c r="I185" s="7" t="s">
        <v>107</v>
      </c>
      <c r="J185" s="6">
        <v>32500</v>
      </c>
      <c r="K185" s="6">
        <v>37803.22</v>
      </c>
      <c r="L185" s="6">
        <v>32803.22</v>
      </c>
      <c r="M185" s="23">
        <v>178</v>
      </c>
      <c r="N185" s="7" t="s">
        <v>237</v>
      </c>
      <c r="O185" s="20" t="s">
        <v>245</v>
      </c>
      <c r="P185" s="20" t="s">
        <v>245</v>
      </c>
      <c r="Q185" s="20" t="s">
        <v>245</v>
      </c>
      <c r="R185" s="21">
        <v>42561</v>
      </c>
      <c r="S185" s="22" t="s">
        <v>246</v>
      </c>
      <c r="T185" s="22">
        <v>2016</v>
      </c>
      <c r="U185" s="21">
        <v>42551</v>
      </c>
      <c r="V185" s="22"/>
    </row>
    <row r="186" spans="1:22" ht="19.5" customHeight="1" x14ac:dyDescent="0.3">
      <c r="A186" s="3">
        <v>2016</v>
      </c>
      <c r="B186" s="4">
        <v>42461</v>
      </c>
      <c r="C186" s="3">
        <v>2000</v>
      </c>
      <c r="D186" s="7" t="s">
        <v>108</v>
      </c>
      <c r="E186" s="6">
        <v>1000</v>
      </c>
      <c r="F186" s="6">
        <v>1000</v>
      </c>
      <c r="G186" s="6">
        <v>0</v>
      </c>
      <c r="H186" s="3">
        <v>2400</v>
      </c>
      <c r="I186" s="7" t="s">
        <v>108</v>
      </c>
      <c r="J186" s="6">
        <v>1000</v>
      </c>
      <c r="K186" s="6">
        <v>1000</v>
      </c>
      <c r="L186" s="6">
        <v>0</v>
      </c>
      <c r="M186" s="19">
        <v>179</v>
      </c>
      <c r="N186" s="7" t="s">
        <v>237</v>
      </c>
      <c r="O186" s="20" t="s">
        <v>245</v>
      </c>
      <c r="P186" s="20" t="s">
        <v>245</v>
      </c>
      <c r="Q186" s="20" t="s">
        <v>245</v>
      </c>
      <c r="R186" s="21">
        <v>42561</v>
      </c>
      <c r="S186" s="22" t="s">
        <v>246</v>
      </c>
      <c r="T186" s="22">
        <v>2016</v>
      </c>
      <c r="U186" s="21">
        <v>42551</v>
      </c>
      <c r="V186" s="22"/>
    </row>
    <row r="187" spans="1:22" ht="19.5" customHeight="1" x14ac:dyDescent="0.3">
      <c r="A187" s="3">
        <v>2016</v>
      </c>
      <c r="B187" s="4">
        <v>42461</v>
      </c>
      <c r="C187" s="3">
        <v>2000</v>
      </c>
      <c r="D187" s="7" t="s">
        <v>109</v>
      </c>
      <c r="E187" s="6">
        <v>21000</v>
      </c>
      <c r="F187" s="6">
        <v>34190.32</v>
      </c>
      <c r="G187" s="6">
        <v>28190.32</v>
      </c>
      <c r="H187" s="3">
        <v>2400</v>
      </c>
      <c r="I187" s="7" t="s">
        <v>109</v>
      </c>
      <c r="J187" s="6">
        <v>21000</v>
      </c>
      <c r="K187" s="6">
        <v>34190.32</v>
      </c>
      <c r="L187" s="6">
        <v>28190.32</v>
      </c>
      <c r="M187" s="23">
        <v>180</v>
      </c>
      <c r="N187" s="7" t="s">
        <v>237</v>
      </c>
      <c r="O187" s="20" t="s">
        <v>245</v>
      </c>
      <c r="P187" s="20" t="s">
        <v>245</v>
      </c>
      <c r="Q187" s="20" t="s">
        <v>245</v>
      </c>
      <c r="R187" s="21">
        <v>42561</v>
      </c>
      <c r="S187" s="22" t="s">
        <v>246</v>
      </c>
      <c r="T187" s="22">
        <v>2016</v>
      </c>
      <c r="U187" s="21">
        <v>42551</v>
      </c>
      <c r="V187" s="22"/>
    </row>
    <row r="188" spans="1:22" ht="19.5" customHeight="1" x14ac:dyDescent="0.3">
      <c r="A188" s="3">
        <v>2016</v>
      </c>
      <c r="B188" s="4">
        <v>42461</v>
      </c>
      <c r="C188" s="3">
        <v>2000</v>
      </c>
      <c r="D188" s="7" t="s">
        <v>110</v>
      </c>
      <c r="E188" s="6">
        <v>10000</v>
      </c>
      <c r="F188" s="6">
        <v>12000</v>
      </c>
      <c r="G188" s="6">
        <v>2000</v>
      </c>
      <c r="H188" s="3">
        <v>2400</v>
      </c>
      <c r="I188" s="7" t="s">
        <v>110</v>
      </c>
      <c r="J188" s="6">
        <v>10000</v>
      </c>
      <c r="K188" s="6">
        <v>12000</v>
      </c>
      <c r="L188" s="6">
        <v>2000</v>
      </c>
      <c r="M188" s="19">
        <v>181</v>
      </c>
      <c r="N188" s="7" t="s">
        <v>237</v>
      </c>
      <c r="O188" s="20" t="s">
        <v>245</v>
      </c>
      <c r="P188" s="20" t="s">
        <v>245</v>
      </c>
      <c r="Q188" s="20" t="s">
        <v>245</v>
      </c>
      <c r="R188" s="21">
        <v>42561</v>
      </c>
      <c r="S188" s="22" t="s">
        <v>246</v>
      </c>
      <c r="T188" s="22">
        <v>2016</v>
      </c>
      <c r="U188" s="21">
        <v>42551</v>
      </c>
      <c r="V188" s="22"/>
    </row>
    <row r="189" spans="1:22" ht="19.5" customHeight="1" x14ac:dyDescent="0.3">
      <c r="A189" s="3">
        <v>2016</v>
      </c>
      <c r="B189" s="4">
        <v>42461</v>
      </c>
      <c r="C189" s="3">
        <v>2000</v>
      </c>
      <c r="D189" s="7" t="s">
        <v>111</v>
      </c>
      <c r="E189" s="6">
        <v>44562</v>
      </c>
      <c r="F189" s="6">
        <v>1375032.23</v>
      </c>
      <c r="G189" s="6">
        <v>953896.33</v>
      </c>
      <c r="H189" s="3">
        <v>2400</v>
      </c>
      <c r="I189" s="7" t="s">
        <v>111</v>
      </c>
      <c r="J189" s="6">
        <v>44562</v>
      </c>
      <c r="K189" s="6">
        <v>1375032.23</v>
      </c>
      <c r="L189" s="6">
        <v>953896.33</v>
      </c>
      <c r="M189" s="23">
        <v>182</v>
      </c>
      <c r="N189" s="7" t="s">
        <v>237</v>
      </c>
      <c r="O189" s="20" t="s">
        <v>245</v>
      </c>
      <c r="P189" s="20" t="s">
        <v>245</v>
      </c>
      <c r="Q189" s="20" t="s">
        <v>245</v>
      </c>
      <c r="R189" s="21">
        <v>42561</v>
      </c>
      <c r="S189" s="22" t="s">
        <v>246</v>
      </c>
      <c r="T189" s="22">
        <v>2016</v>
      </c>
      <c r="U189" s="21">
        <v>42551</v>
      </c>
      <c r="V189" s="22"/>
    </row>
    <row r="190" spans="1:22" ht="19.5" customHeight="1" x14ac:dyDescent="0.3">
      <c r="A190" s="3">
        <v>2016</v>
      </c>
      <c r="B190" s="4">
        <v>42461</v>
      </c>
      <c r="C190" s="3">
        <v>2000</v>
      </c>
      <c r="D190" s="7" t="s">
        <v>112</v>
      </c>
      <c r="E190" s="6">
        <v>27105</v>
      </c>
      <c r="F190" s="6">
        <v>341954.46</v>
      </c>
      <c r="G190" s="6">
        <v>16741.5</v>
      </c>
      <c r="H190" s="3">
        <v>2400</v>
      </c>
      <c r="I190" s="7" t="s">
        <v>112</v>
      </c>
      <c r="J190" s="6">
        <v>27105</v>
      </c>
      <c r="K190" s="6">
        <v>341954.46</v>
      </c>
      <c r="L190" s="6">
        <v>16741.5</v>
      </c>
      <c r="M190" s="19">
        <v>183</v>
      </c>
      <c r="N190" s="7" t="s">
        <v>237</v>
      </c>
      <c r="O190" s="20" t="s">
        <v>245</v>
      </c>
      <c r="P190" s="20" t="s">
        <v>245</v>
      </c>
      <c r="Q190" s="20" t="s">
        <v>245</v>
      </c>
      <c r="R190" s="21">
        <v>42561</v>
      </c>
      <c r="S190" s="22" t="s">
        <v>246</v>
      </c>
      <c r="T190" s="22">
        <v>2016</v>
      </c>
      <c r="U190" s="21">
        <v>42551</v>
      </c>
      <c r="V190" s="22"/>
    </row>
    <row r="191" spans="1:22" ht="19.5" customHeight="1" x14ac:dyDescent="0.3">
      <c r="A191" s="3">
        <v>2016</v>
      </c>
      <c r="B191" s="4">
        <v>42461</v>
      </c>
      <c r="C191" s="3">
        <v>2000</v>
      </c>
      <c r="D191" s="7" t="s">
        <v>113</v>
      </c>
      <c r="E191" s="6">
        <v>437000</v>
      </c>
      <c r="F191" s="6">
        <v>585272.06999999995</v>
      </c>
      <c r="G191" s="6">
        <v>3184.2</v>
      </c>
      <c r="H191" s="3">
        <v>2400</v>
      </c>
      <c r="I191" s="7" t="s">
        <v>113</v>
      </c>
      <c r="J191" s="6">
        <v>437000</v>
      </c>
      <c r="K191" s="6">
        <v>585272.06999999995</v>
      </c>
      <c r="L191" s="6">
        <v>3184.2</v>
      </c>
      <c r="M191" s="23">
        <v>184</v>
      </c>
      <c r="N191" s="7" t="s">
        <v>237</v>
      </c>
      <c r="O191" s="20" t="s">
        <v>245</v>
      </c>
      <c r="P191" s="20" t="s">
        <v>245</v>
      </c>
      <c r="Q191" s="20" t="s">
        <v>245</v>
      </c>
      <c r="R191" s="21">
        <v>42561</v>
      </c>
      <c r="S191" s="22" t="s">
        <v>246</v>
      </c>
      <c r="T191" s="22">
        <v>2016</v>
      </c>
      <c r="U191" s="21">
        <v>42551</v>
      </c>
      <c r="V191" s="22"/>
    </row>
    <row r="192" spans="1:22" ht="19.5" customHeight="1" x14ac:dyDescent="0.3">
      <c r="A192" s="3">
        <v>2016</v>
      </c>
      <c r="B192" s="4">
        <v>42461</v>
      </c>
      <c r="C192" s="3">
        <v>2000</v>
      </c>
      <c r="D192" s="7" t="s">
        <v>114</v>
      </c>
      <c r="E192" s="6">
        <v>4928.8</v>
      </c>
      <c r="F192" s="6">
        <v>183077</v>
      </c>
      <c r="G192" s="6">
        <v>178148.2</v>
      </c>
      <c r="H192" s="3">
        <v>2400</v>
      </c>
      <c r="I192" s="7" t="s">
        <v>114</v>
      </c>
      <c r="J192" s="6">
        <v>4928.8</v>
      </c>
      <c r="K192" s="6">
        <v>183077</v>
      </c>
      <c r="L192" s="6">
        <v>178148.2</v>
      </c>
      <c r="M192" s="19">
        <v>185</v>
      </c>
      <c r="N192" s="7" t="s">
        <v>237</v>
      </c>
      <c r="O192" s="20" t="s">
        <v>245</v>
      </c>
      <c r="P192" s="20" t="s">
        <v>245</v>
      </c>
      <c r="Q192" s="20" t="s">
        <v>245</v>
      </c>
      <c r="R192" s="21">
        <v>42561</v>
      </c>
      <c r="S192" s="22" t="s">
        <v>246</v>
      </c>
      <c r="T192" s="22">
        <v>2016</v>
      </c>
      <c r="U192" s="21">
        <v>42551</v>
      </c>
      <c r="V192" s="22"/>
    </row>
    <row r="193" spans="1:22" ht="19.5" customHeight="1" x14ac:dyDescent="0.3">
      <c r="A193" s="3">
        <v>2016</v>
      </c>
      <c r="B193" s="4">
        <v>42461</v>
      </c>
      <c r="C193" s="3">
        <v>2000</v>
      </c>
      <c r="D193" s="9" t="s">
        <v>115</v>
      </c>
      <c r="E193" s="6">
        <v>114335.08</v>
      </c>
      <c r="F193" s="6">
        <v>1332851.69</v>
      </c>
      <c r="G193" s="6">
        <v>106355.64</v>
      </c>
      <c r="H193" s="3">
        <v>2500</v>
      </c>
      <c r="I193" s="9" t="s">
        <v>115</v>
      </c>
      <c r="J193" s="6">
        <v>114335.08</v>
      </c>
      <c r="K193" s="6">
        <v>1332851.69</v>
      </c>
      <c r="L193" s="6">
        <v>106355.64</v>
      </c>
      <c r="M193" s="23">
        <v>186</v>
      </c>
      <c r="N193" s="7" t="s">
        <v>237</v>
      </c>
      <c r="O193" s="20" t="s">
        <v>245</v>
      </c>
      <c r="P193" s="20" t="s">
        <v>245</v>
      </c>
      <c r="Q193" s="20" t="s">
        <v>245</v>
      </c>
      <c r="R193" s="21">
        <v>42561</v>
      </c>
      <c r="S193" s="22" t="s">
        <v>246</v>
      </c>
      <c r="T193" s="22">
        <v>2016</v>
      </c>
      <c r="U193" s="21">
        <v>42551</v>
      </c>
      <c r="V193" s="22"/>
    </row>
    <row r="194" spans="1:22" ht="19.5" customHeight="1" x14ac:dyDescent="0.3">
      <c r="A194" s="3">
        <v>2016</v>
      </c>
      <c r="B194" s="4">
        <v>42461</v>
      </c>
      <c r="C194" s="3">
        <v>2000</v>
      </c>
      <c r="D194" s="9" t="s">
        <v>116</v>
      </c>
      <c r="E194" s="6">
        <v>50000</v>
      </c>
      <c r="F194" s="6">
        <v>97165.64</v>
      </c>
      <c r="G194" s="6">
        <v>1185.6400000000001</v>
      </c>
      <c r="H194" s="3">
        <v>2500</v>
      </c>
      <c r="I194" s="9" t="s">
        <v>116</v>
      </c>
      <c r="J194" s="6">
        <v>50000</v>
      </c>
      <c r="K194" s="6">
        <v>97165.64</v>
      </c>
      <c r="L194" s="6">
        <v>1185.6400000000001</v>
      </c>
      <c r="M194" s="19">
        <v>187</v>
      </c>
      <c r="N194" s="7" t="s">
        <v>237</v>
      </c>
      <c r="O194" s="20" t="s">
        <v>245</v>
      </c>
      <c r="P194" s="20" t="s">
        <v>245</v>
      </c>
      <c r="Q194" s="20" t="s">
        <v>245</v>
      </c>
      <c r="R194" s="21">
        <v>42561</v>
      </c>
      <c r="S194" s="22" t="s">
        <v>246</v>
      </c>
      <c r="T194" s="22">
        <v>2016</v>
      </c>
      <c r="U194" s="21">
        <v>42551</v>
      </c>
      <c r="V194" s="22"/>
    </row>
    <row r="195" spans="1:22" ht="19.5" customHeight="1" x14ac:dyDescent="0.3">
      <c r="A195" s="3">
        <v>2016</v>
      </c>
      <c r="B195" s="4">
        <v>42461</v>
      </c>
      <c r="C195" s="3">
        <v>2000</v>
      </c>
      <c r="D195" s="9" t="s">
        <v>117</v>
      </c>
      <c r="E195" s="6">
        <v>111209.25</v>
      </c>
      <c r="F195" s="6">
        <v>65321.08</v>
      </c>
      <c r="G195" s="6">
        <v>458.68</v>
      </c>
      <c r="H195" s="3">
        <v>2500</v>
      </c>
      <c r="I195" s="9" t="s">
        <v>117</v>
      </c>
      <c r="J195" s="6">
        <v>111209.25</v>
      </c>
      <c r="K195" s="6">
        <v>65321.08</v>
      </c>
      <c r="L195" s="6">
        <v>458.68</v>
      </c>
      <c r="M195" s="23">
        <v>188</v>
      </c>
      <c r="N195" s="7" t="s">
        <v>237</v>
      </c>
      <c r="O195" s="20" t="s">
        <v>245</v>
      </c>
      <c r="P195" s="20" t="s">
        <v>245</v>
      </c>
      <c r="Q195" s="20" t="s">
        <v>245</v>
      </c>
      <c r="R195" s="21">
        <v>42561</v>
      </c>
      <c r="S195" s="22" t="s">
        <v>246</v>
      </c>
      <c r="T195" s="22">
        <v>2016</v>
      </c>
      <c r="U195" s="21">
        <v>42551</v>
      </c>
      <c r="V195" s="22"/>
    </row>
    <row r="196" spans="1:22" ht="19.5" customHeight="1" x14ac:dyDescent="0.3">
      <c r="A196" s="3">
        <v>2016</v>
      </c>
      <c r="B196" s="4">
        <v>42461</v>
      </c>
      <c r="C196" s="3">
        <v>2000</v>
      </c>
      <c r="D196" s="9" t="s">
        <v>118</v>
      </c>
      <c r="E196" s="6">
        <v>1910543.49</v>
      </c>
      <c r="F196" s="6">
        <v>2535022.91</v>
      </c>
      <c r="G196" s="6">
        <v>293405.99</v>
      </c>
      <c r="H196" s="3">
        <v>2500</v>
      </c>
      <c r="I196" s="9" t="s">
        <v>118</v>
      </c>
      <c r="J196" s="6">
        <v>1910543.49</v>
      </c>
      <c r="K196" s="6">
        <v>2535022.91</v>
      </c>
      <c r="L196" s="6">
        <v>293405.99</v>
      </c>
      <c r="M196" s="19">
        <v>189</v>
      </c>
      <c r="N196" s="7" t="s">
        <v>237</v>
      </c>
      <c r="O196" s="20" t="s">
        <v>245</v>
      </c>
      <c r="P196" s="20" t="s">
        <v>245</v>
      </c>
      <c r="Q196" s="20" t="s">
        <v>245</v>
      </c>
      <c r="R196" s="21">
        <v>42561</v>
      </c>
      <c r="S196" s="22" t="s">
        <v>246</v>
      </c>
      <c r="T196" s="22">
        <v>2016</v>
      </c>
      <c r="U196" s="21">
        <v>42551</v>
      </c>
      <c r="V196" s="22"/>
    </row>
    <row r="197" spans="1:22" ht="19.5" customHeight="1" x14ac:dyDescent="0.3">
      <c r="A197" s="3">
        <v>2016</v>
      </c>
      <c r="B197" s="4">
        <v>42461</v>
      </c>
      <c r="C197" s="3">
        <v>2000</v>
      </c>
      <c r="D197" s="9" t="s">
        <v>119</v>
      </c>
      <c r="E197" s="6">
        <v>27600</v>
      </c>
      <c r="F197" s="6">
        <v>299086.44</v>
      </c>
      <c r="G197" s="6">
        <v>265654.77</v>
      </c>
      <c r="H197" s="3">
        <v>2500</v>
      </c>
      <c r="I197" s="9" t="s">
        <v>119</v>
      </c>
      <c r="J197" s="6">
        <v>27600</v>
      </c>
      <c r="K197" s="6">
        <v>299086.44</v>
      </c>
      <c r="L197" s="6">
        <v>265654.77</v>
      </c>
      <c r="M197" s="23">
        <v>190</v>
      </c>
      <c r="N197" s="7" t="s">
        <v>237</v>
      </c>
      <c r="O197" s="20" t="s">
        <v>245</v>
      </c>
      <c r="P197" s="20" t="s">
        <v>245</v>
      </c>
      <c r="Q197" s="20" t="s">
        <v>245</v>
      </c>
      <c r="R197" s="21">
        <v>42561</v>
      </c>
      <c r="S197" s="22" t="s">
        <v>246</v>
      </c>
      <c r="T197" s="22">
        <v>2016</v>
      </c>
      <c r="U197" s="21">
        <v>42551</v>
      </c>
      <c r="V197" s="22"/>
    </row>
    <row r="198" spans="1:22" ht="19.5" customHeight="1" x14ac:dyDescent="0.3">
      <c r="A198" s="3">
        <v>2016</v>
      </c>
      <c r="B198" s="4">
        <v>42461</v>
      </c>
      <c r="C198" s="3">
        <v>2000</v>
      </c>
      <c r="D198" s="7" t="s">
        <v>120</v>
      </c>
      <c r="E198" s="6">
        <v>2692.94</v>
      </c>
      <c r="F198" s="6">
        <v>143984.31</v>
      </c>
      <c r="G198" s="6">
        <f>777.2+141291.37</f>
        <v>142068.57</v>
      </c>
      <c r="H198" s="3">
        <v>2500</v>
      </c>
      <c r="I198" s="7" t="s">
        <v>120</v>
      </c>
      <c r="J198" s="6">
        <v>2692.94</v>
      </c>
      <c r="K198" s="6">
        <v>143984.31</v>
      </c>
      <c r="L198" s="6">
        <f>777.2+141291.37</f>
        <v>142068.57</v>
      </c>
      <c r="M198" s="19">
        <v>191</v>
      </c>
      <c r="N198" s="7" t="s">
        <v>237</v>
      </c>
      <c r="O198" s="20" t="s">
        <v>245</v>
      </c>
      <c r="P198" s="20" t="s">
        <v>245</v>
      </c>
      <c r="Q198" s="20" t="s">
        <v>245</v>
      </c>
      <c r="R198" s="21">
        <v>42561</v>
      </c>
      <c r="S198" s="22" t="s">
        <v>246</v>
      </c>
      <c r="T198" s="22">
        <v>2016</v>
      </c>
      <c r="U198" s="21">
        <v>42551</v>
      </c>
      <c r="V198" s="22"/>
    </row>
    <row r="199" spans="1:22" ht="19.5" customHeight="1" x14ac:dyDescent="0.3">
      <c r="A199" s="3">
        <v>2016</v>
      </c>
      <c r="B199" s="4">
        <v>42461</v>
      </c>
      <c r="C199" s="3">
        <v>2000</v>
      </c>
      <c r="D199" s="10" t="s">
        <v>121</v>
      </c>
      <c r="E199" s="6">
        <v>900000</v>
      </c>
      <c r="F199" s="6">
        <v>947270.98</v>
      </c>
      <c r="G199" s="6">
        <v>371592.28</v>
      </c>
      <c r="H199" s="3">
        <v>2600</v>
      </c>
      <c r="I199" s="10" t="s">
        <v>121</v>
      </c>
      <c r="J199" s="6">
        <v>900000</v>
      </c>
      <c r="K199" s="6">
        <v>947270.98</v>
      </c>
      <c r="L199" s="6">
        <v>371592.28</v>
      </c>
      <c r="M199" s="23">
        <v>192</v>
      </c>
      <c r="N199" s="7" t="s">
        <v>237</v>
      </c>
      <c r="O199" s="20" t="s">
        <v>245</v>
      </c>
      <c r="P199" s="20" t="s">
        <v>245</v>
      </c>
      <c r="Q199" s="20" t="s">
        <v>245</v>
      </c>
      <c r="R199" s="21">
        <v>42561</v>
      </c>
      <c r="S199" s="22" t="s">
        <v>246</v>
      </c>
      <c r="T199" s="22">
        <v>2016</v>
      </c>
      <c r="U199" s="21">
        <v>42551</v>
      </c>
      <c r="V199" s="22"/>
    </row>
    <row r="200" spans="1:22" ht="19.5" customHeight="1" x14ac:dyDescent="0.3">
      <c r="A200" s="3">
        <v>2016</v>
      </c>
      <c r="B200" s="4">
        <v>42461</v>
      </c>
      <c r="C200" s="3">
        <v>2000</v>
      </c>
      <c r="D200" s="10" t="s">
        <v>122</v>
      </c>
      <c r="E200" s="6">
        <v>1290000.21</v>
      </c>
      <c r="F200" s="6">
        <v>1745275.64</v>
      </c>
      <c r="G200" s="6">
        <v>344675.44</v>
      </c>
      <c r="H200" s="3">
        <v>2700</v>
      </c>
      <c r="I200" s="10" t="s">
        <v>122</v>
      </c>
      <c r="J200" s="6">
        <v>1290000.21</v>
      </c>
      <c r="K200" s="6">
        <v>1745275.64</v>
      </c>
      <c r="L200" s="6">
        <v>344675.44</v>
      </c>
      <c r="M200" s="19">
        <v>193</v>
      </c>
      <c r="N200" s="7" t="s">
        <v>237</v>
      </c>
      <c r="O200" s="20" t="s">
        <v>245</v>
      </c>
      <c r="P200" s="20" t="s">
        <v>245</v>
      </c>
      <c r="Q200" s="20" t="s">
        <v>245</v>
      </c>
      <c r="R200" s="21">
        <v>42561</v>
      </c>
      <c r="S200" s="22" t="s">
        <v>246</v>
      </c>
      <c r="T200" s="22">
        <v>2016</v>
      </c>
      <c r="U200" s="21">
        <v>42551</v>
      </c>
      <c r="V200" s="22"/>
    </row>
    <row r="201" spans="1:22" ht="19.5" customHeight="1" x14ac:dyDescent="0.3">
      <c r="A201" s="3">
        <v>2016</v>
      </c>
      <c r="B201" s="4">
        <v>42461</v>
      </c>
      <c r="C201" s="3">
        <v>2000</v>
      </c>
      <c r="D201" s="10" t="s">
        <v>123</v>
      </c>
      <c r="E201" s="6">
        <v>2593874.4</v>
      </c>
      <c r="F201" s="6">
        <v>3838179.48</v>
      </c>
      <c r="G201" s="6">
        <v>1200038.08</v>
      </c>
      <c r="H201" s="3">
        <v>2700</v>
      </c>
      <c r="I201" s="10" t="s">
        <v>123</v>
      </c>
      <c r="J201" s="6">
        <v>2593874.4</v>
      </c>
      <c r="K201" s="6">
        <v>3838179.48</v>
      </c>
      <c r="L201" s="6">
        <v>1200038.08</v>
      </c>
      <c r="M201" s="23">
        <v>194</v>
      </c>
      <c r="N201" s="7" t="s">
        <v>237</v>
      </c>
      <c r="O201" s="20" t="s">
        <v>245</v>
      </c>
      <c r="P201" s="20" t="s">
        <v>245</v>
      </c>
      <c r="Q201" s="20" t="s">
        <v>245</v>
      </c>
      <c r="R201" s="21">
        <v>42561</v>
      </c>
      <c r="S201" s="22" t="s">
        <v>246</v>
      </c>
      <c r="T201" s="22">
        <v>2016</v>
      </c>
      <c r="U201" s="21">
        <v>42551</v>
      </c>
      <c r="V201" s="22"/>
    </row>
    <row r="202" spans="1:22" ht="19.5" customHeight="1" x14ac:dyDescent="0.3">
      <c r="A202" s="3">
        <v>2016</v>
      </c>
      <c r="B202" s="4">
        <v>42461</v>
      </c>
      <c r="C202" s="3">
        <v>2000</v>
      </c>
      <c r="D202" s="10" t="s">
        <v>124</v>
      </c>
      <c r="E202" s="6">
        <v>530000</v>
      </c>
      <c r="F202" s="6">
        <v>551720.06999999995</v>
      </c>
      <c r="G202" s="6">
        <v>0</v>
      </c>
      <c r="H202" s="3">
        <v>2700</v>
      </c>
      <c r="I202" s="10" t="s">
        <v>124</v>
      </c>
      <c r="J202" s="6">
        <v>530000</v>
      </c>
      <c r="K202" s="6">
        <v>551720.06999999995</v>
      </c>
      <c r="L202" s="6">
        <v>0</v>
      </c>
      <c r="M202" s="19">
        <v>195</v>
      </c>
      <c r="N202" s="7" t="s">
        <v>237</v>
      </c>
      <c r="O202" s="20" t="s">
        <v>245</v>
      </c>
      <c r="P202" s="20" t="s">
        <v>245</v>
      </c>
      <c r="Q202" s="20" t="s">
        <v>245</v>
      </c>
      <c r="R202" s="21">
        <v>42561</v>
      </c>
      <c r="S202" s="22" t="s">
        <v>246</v>
      </c>
      <c r="T202" s="22">
        <v>2016</v>
      </c>
      <c r="U202" s="21">
        <v>42551</v>
      </c>
      <c r="V202" s="22"/>
    </row>
    <row r="203" spans="1:22" ht="19.5" customHeight="1" x14ac:dyDescent="0.3">
      <c r="A203" s="3">
        <v>2016</v>
      </c>
      <c r="B203" s="4">
        <v>42461</v>
      </c>
      <c r="C203" s="3">
        <v>2000</v>
      </c>
      <c r="D203" s="10" t="s">
        <v>125</v>
      </c>
      <c r="E203" s="6">
        <v>5428</v>
      </c>
      <c r="F203" s="6">
        <v>5857.93</v>
      </c>
      <c r="G203" s="6">
        <v>429.93</v>
      </c>
      <c r="H203" s="3">
        <v>2700</v>
      </c>
      <c r="I203" s="10" t="s">
        <v>125</v>
      </c>
      <c r="J203" s="6">
        <v>5428</v>
      </c>
      <c r="K203" s="6">
        <v>5857.93</v>
      </c>
      <c r="L203" s="6">
        <v>429.93</v>
      </c>
      <c r="M203" s="23">
        <v>196</v>
      </c>
      <c r="N203" s="7" t="s">
        <v>237</v>
      </c>
      <c r="O203" s="20" t="s">
        <v>245</v>
      </c>
      <c r="P203" s="20" t="s">
        <v>245</v>
      </c>
      <c r="Q203" s="20" t="s">
        <v>245</v>
      </c>
      <c r="R203" s="21">
        <v>42561</v>
      </c>
      <c r="S203" s="22" t="s">
        <v>246</v>
      </c>
      <c r="T203" s="22">
        <v>2016</v>
      </c>
      <c r="U203" s="21">
        <v>42551</v>
      </c>
      <c r="V203" s="22"/>
    </row>
    <row r="204" spans="1:22" ht="19.5" customHeight="1" x14ac:dyDescent="0.3">
      <c r="A204" s="3">
        <v>2016</v>
      </c>
      <c r="B204" s="4">
        <v>42461</v>
      </c>
      <c r="C204" s="3">
        <v>2000</v>
      </c>
      <c r="D204" s="7" t="s">
        <v>126</v>
      </c>
      <c r="E204" s="6">
        <v>21720</v>
      </c>
      <c r="F204" s="6">
        <v>0</v>
      </c>
      <c r="G204" s="6">
        <v>0</v>
      </c>
      <c r="H204" s="3">
        <v>2700</v>
      </c>
      <c r="I204" s="7" t="s">
        <v>126</v>
      </c>
      <c r="J204" s="6">
        <v>21720</v>
      </c>
      <c r="K204" s="6">
        <v>0</v>
      </c>
      <c r="L204" s="6">
        <v>0</v>
      </c>
      <c r="M204" s="19">
        <v>197</v>
      </c>
      <c r="N204" s="7" t="s">
        <v>237</v>
      </c>
      <c r="O204" s="20" t="s">
        <v>245</v>
      </c>
      <c r="P204" s="20" t="s">
        <v>245</v>
      </c>
      <c r="Q204" s="20" t="s">
        <v>245</v>
      </c>
      <c r="R204" s="21">
        <v>42561</v>
      </c>
      <c r="S204" s="22" t="s">
        <v>246</v>
      </c>
      <c r="T204" s="22">
        <v>2016</v>
      </c>
      <c r="U204" s="21">
        <v>42551</v>
      </c>
      <c r="V204" s="22"/>
    </row>
    <row r="205" spans="1:22" ht="19.5" customHeight="1" x14ac:dyDescent="0.3">
      <c r="A205" s="3">
        <v>2016</v>
      </c>
      <c r="B205" s="4">
        <v>42461</v>
      </c>
      <c r="C205" s="3">
        <v>2000</v>
      </c>
      <c r="D205" s="7" t="s">
        <v>127</v>
      </c>
      <c r="E205" s="6">
        <v>4649.8599999999997</v>
      </c>
      <c r="F205" s="6">
        <v>4649.8599999999997</v>
      </c>
      <c r="G205" s="6">
        <v>0</v>
      </c>
      <c r="H205" s="3">
        <v>2800</v>
      </c>
      <c r="I205" s="7" t="s">
        <v>127</v>
      </c>
      <c r="J205" s="6">
        <v>4649.8599999999997</v>
      </c>
      <c r="K205" s="6">
        <v>4649.8599999999997</v>
      </c>
      <c r="L205" s="6">
        <v>0</v>
      </c>
      <c r="M205" s="23">
        <v>198</v>
      </c>
      <c r="N205" s="7" t="s">
        <v>237</v>
      </c>
      <c r="O205" s="20" t="s">
        <v>245</v>
      </c>
      <c r="P205" s="20" t="s">
        <v>245</v>
      </c>
      <c r="Q205" s="20" t="s">
        <v>245</v>
      </c>
      <c r="R205" s="21">
        <v>42561</v>
      </c>
      <c r="S205" s="22" t="s">
        <v>246</v>
      </c>
      <c r="T205" s="22">
        <v>2016</v>
      </c>
      <c r="U205" s="21">
        <v>42551</v>
      </c>
      <c r="V205" s="22"/>
    </row>
    <row r="206" spans="1:22" ht="19.5" customHeight="1" x14ac:dyDescent="0.3">
      <c r="A206" s="3">
        <v>2016</v>
      </c>
      <c r="B206" s="4">
        <v>42461</v>
      </c>
      <c r="C206" s="3">
        <v>2000</v>
      </c>
      <c r="D206" s="10" t="s">
        <v>128</v>
      </c>
      <c r="E206" s="6">
        <v>288207</v>
      </c>
      <c r="F206" s="6">
        <v>1050578.93</v>
      </c>
      <c r="G206" s="6">
        <v>41139.93</v>
      </c>
      <c r="H206" s="3">
        <v>2900</v>
      </c>
      <c r="I206" s="10" t="s">
        <v>128</v>
      </c>
      <c r="J206" s="6">
        <v>288207</v>
      </c>
      <c r="K206" s="6">
        <v>1050578.93</v>
      </c>
      <c r="L206" s="6">
        <v>41139.93</v>
      </c>
      <c r="M206" s="19">
        <v>199</v>
      </c>
      <c r="N206" s="7" t="s">
        <v>237</v>
      </c>
      <c r="O206" s="20" t="s">
        <v>245</v>
      </c>
      <c r="P206" s="20" t="s">
        <v>245</v>
      </c>
      <c r="Q206" s="20" t="s">
        <v>245</v>
      </c>
      <c r="R206" s="21">
        <v>42561</v>
      </c>
      <c r="S206" s="22" t="s">
        <v>246</v>
      </c>
      <c r="T206" s="22">
        <v>2016</v>
      </c>
      <c r="U206" s="21">
        <v>42551</v>
      </c>
      <c r="V206" s="22"/>
    </row>
    <row r="207" spans="1:22" ht="19.5" customHeight="1" x14ac:dyDescent="0.3">
      <c r="A207" s="3">
        <v>2016</v>
      </c>
      <c r="B207" s="4">
        <v>42461</v>
      </c>
      <c r="C207" s="3">
        <v>2000</v>
      </c>
      <c r="D207" s="10" t="s">
        <v>129</v>
      </c>
      <c r="E207" s="6">
        <v>7400</v>
      </c>
      <c r="F207" s="6">
        <v>186965.5</v>
      </c>
      <c r="G207" s="6">
        <v>179042.34</v>
      </c>
      <c r="H207" s="3">
        <v>2900</v>
      </c>
      <c r="I207" s="10" t="s">
        <v>129</v>
      </c>
      <c r="J207" s="6">
        <v>7400</v>
      </c>
      <c r="K207" s="6">
        <v>186965.5</v>
      </c>
      <c r="L207" s="6">
        <v>179042.34</v>
      </c>
      <c r="M207" s="23">
        <v>200</v>
      </c>
      <c r="N207" s="7" t="s">
        <v>237</v>
      </c>
      <c r="O207" s="20" t="s">
        <v>245</v>
      </c>
      <c r="P207" s="20" t="s">
        <v>245</v>
      </c>
      <c r="Q207" s="20" t="s">
        <v>245</v>
      </c>
      <c r="R207" s="21">
        <v>42561</v>
      </c>
      <c r="S207" s="22" t="s">
        <v>246</v>
      </c>
      <c r="T207" s="22">
        <v>2016</v>
      </c>
      <c r="U207" s="21">
        <v>42551</v>
      </c>
      <c r="V207" s="22"/>
    </row>
    <row r="208" spans="1:22" ht="19.5" customHeight="1" x14ac:dyDescent="0.3">
      <c r="A208" s="3">
        <v>2016</v>
      </c>
      <c r="B208" s="4">
        <v>42461</v>
      </c>
      <c r="C208" s="3">
        <v>2000</v>
      </c>
      <c r="D208" s="10" t="s">
        <v>130</v>
      </c>
      <c r="E208" s="6">
        <v>19310</v>
      </c>
      <c r="F208" s="6">
        <v>77572.97</v>
      </c>
      <c r="G208" s="6">
        <v>0</v>
      </c>
      <c r="H208" s="3">
        <v>2900</v>
      </c>
      <c r="I208" s="10" t="s">
        <v>130</v>
      </c>
      <c r="J208" s="6">
        <v>19310</v>
      </c>
      <c r="K208" s="6">
        <v>77572.97</v>
      </c>
      <c r="L208" s="6">
        <v>0</v>
      </c>
      <c r="M208" s="19">
        <v>201</v>
      </c>
      <c r="N208" s="7" t="s">
        <v>237</v>
      </c>
      <c r="O208" s="20" t="s">
        <v>245</v>
      </c>
      <c r="P208" s="20" t="s">
        <v>245</v>
      </c>
      <c r="Q208" s="20" t="s">
        <v>245</v>
      </c>
      <c r="R208" s="21">
        <v>42561</v>
      </c>
      <c r="S208" s="22" t="s">
        <v>246</v>
      </c>
      <c r="T208" s="22">
        <v>2016</v>
      </c>
      <c r="U208" s="21">
        <v>42551</v>
      </c>
      <c r="V208" s="22"/>
    </row>
    <row r="209" spans="1:22" ht="19.5" customHeight="1" x14ac:dyDescent="0.3">
      <c r="A209" s="3">
        <v>2016</v>
      </c>
      <c r="B209" s="4">
        <v>42461</v>
      </c>
      <c r="C209" s="3">
        <v>2000</v>
      </c>
      <c r="D209" s="10" t="s">
        <v>131</v>
      </c>
      <c r="E209" s="6">
        <v>1805416.04</v>
      </c>
      <c r="F209" s="6">
        <v>3932377.78</v>
      </c>
      <c r="G209" s="6">
        <v>83194.350000000006</v>
      </c>
      <c r="H209" s="3">
        <v>2900</v>
      </c>
      <c r="I209" s="10" t="s">
        <v>131</v>
      </c>
      <c r="J209" s="6">
        <v>1805416.04</v>
      </c>
      <c r="K209" s="6">
        <v>3932377.78</v>
      </c>
      <c r="L209" s="6">
        <v>83194.350000000006</v>
      </c>
      <c r="M209" s="23">
        <v>202</v>
      </c>
      <c r="N209" s="7" t="s">
        <v>237</v>
      </c>
      <c r="O209" s="20" t="s">
        <v>245</v>
      </c>
      <c r="P209" s="20" t="s">
        <v>245</v>
      </c>
      <c r="Q209" s="20" t="s">
        <v>245</v>
      </c>
      <c r="R209" s="21">
        <v>42561</v>
      </c>
      <c r="S209" s="22" t="s">
        <v>246</v>
      </c>
      <c r="T209" s="22">
        <v>2016</v>
      </c>
      <c r="U209" s="21">
        <v>42551</v>
      </c>
      <c r="V209" s="22"/>
    </row>
    <row r="210" spans="1:22" ht="19.5" customHeight="1" x14ac:dyDescent="0.3">
      <c r="A210" s="3">
        <v>2016</v>
      </c>
      <c r="B210" s="4">
        <v>42461</v>
      </c>
      <c r="C210" s="3">
        <v>2000</v>
      </c>
      <c r="D210" s="7" t="s">
        <v>132</v>
      </c>
      <c r="E210" s="6">
        <v>0</v>
      </c>
      <c r="F210" s="6">
        <v>315.52</v>
      </c>
      <c r="G210" s="6">
        <v>315.52</v>
      </c>
      <c r="H210" s="3">
        <v>2900</v>
      </c>
      <c r="I210" s="7" t="s">
        <v>132</v>
      </c>
      <c r="J210" s="6">
        <v>0</v>
      </c>
      <c r="K210" s="6">
        <v>315.52</v>
      </c>
      <c r="L210" s="6">
        <v>315.52</v>
      </c>
      <c r="M210" s="19">
        <v>203</v>
      </c>
      <c r="N210" s="7" t="s">
        <v>237</v>
      </c>
      <c r="O210" s="20" t="s">
        <v>245</v>
      </c>
      <c r="P210" s="20" t="s">
        <v>245</v>
      </c>
      <c r="Q210" s="20" t="s">
        <v>245</v>
      </c>
      <c r="R210" s="21">
        <v>42561</v>
      </c>
      <c r="S210" s="22" t="s">
        <v>246</v>
      </c>
      <c r="T210" s="22">
        <v>2016</v>
      </c>
      <c r="U210" s="21">
        <v>42551</v>
      </c>
      <c r="V210" s="22"/>
    </row>
    <row r="211" spans="1:22" ht="19.5" customHeight="1" x14ac:dyDescent="0.3">
      <c r="A211" s="3">
        <v>2016</v>
      </c>
      <c r="B211" s="4">
        <v>42461</v>
      </c>
      <c r="C211" s="3">
        <v>2000</v>
      </c>
      <c r="D211" s="7" t="s">
        <v>133</v>
      </c>
      <c r="E211" s="6">
        <v>0</v>
      </c>
      <c r="F211" s="6">
        <v>7474.47</v>
      </c>
      <c r="G211" s="6">
        <v>0</v>
      </c>
      <c r="H211" s="3">
        <v>2900</v>
      </c>
      <c r="I211" s="7" t="s">
        <v>133</v>
      </c>
      <c r="J211" s="6">
        <v>0</v>
      </c>
      <c r="K211" s="6">
        <v>7474.47</v>
      </c>
      <c r="L211" s="6">
        <v>0</v>
      </c>
      <c r="M211" s="23">
        <v>204</v>
      </c>
      <c r="N211" s="7" t="s">
        <v>237</v>
      </c>
      <c r="O211" s="20" t="s">
        <v>245</v>
      </c>
      <c r="P211" s="20" t="s">
        <v>245</v>
      </c>
      <c r="Q211" s="20" t="s">
        <v>245</v>
      </c>
      <c r="R211" s="21">
        <v>42561</v>
      </c>
      <c r="S211" s="22" t="s">
        <v>246</v>
      </c>
      <c r="T211" s="22">
        <v>2016</v>
      </c>
      <c r="U211" s="21">
        <v>42551</v>
      </c>
      <c r="V211" s="22"/>
    </row>
    <row r="212" spans="1:22" ht="19.5" customHeight="1" x14ac:dyDescent="0.3">
      <c r="A212" s="3">
        <v>2016</v>
      </c>
      <c r="B212" s="4">
        <v>42461</v>
      </c>
      <c r="C212" s="3">
        <v>3000</v>
      </c>
      <c r="D212" s="7" t="s">
        <v>134</v>
      </c>
      <c r="E212" s="6">
        <v>24000</v>
      </c>
      <c r="F212" s="6">
        <v>0</v>
      </c>
      <c r="G212" s="6">
        <v>0</v>
      </c>
      <c r="H212" s="3">
        <v>3100</v>
      </c>
      <c r="I212" s="7" t="s">
        <v>134</v>
      </c>
      <c r="J212" s="6">
        <v>24000</v>
      </c>
      <c r="K212" s="6">
        <v>0</v>
      </c>
      <c r="L212" s="6">
        <v>0</v>
      </c>
      <c r="M212" s="19">
        <v>205</v>
      </c>
      <c r="N212" s="7" t="s">
        <v>238</v>
      </c>
      <c r="O212" s="20" t="s">
        <v>245</v>
      </c>
      <c r="P212" s="20" t="s">
        <v>245</v>
      </c>
      <c r="Q212" s="20" t="s">
        <v>245</v>
      </c>
      <c r="R212" s="21">
        <v>42561</v>
      </c>
      <c r="S212" s="22" t="s">
        <v>246</v>
      </c>
      <c r="T212" s="22">
        <v>2016</v>
      </c>
      <c r="U212" s="21">
        <v>42551</v>
      </c>
      <c r="V212" s="22"/>
    </row>
    <row r="213" spans="1:22" ht="19.5" customHeight="1" x14ac:dyDescent="0.3">
      <c r="A213" s="3">
        <v>2016</v>
      </c>
      <c r="B213" s="4">
        <v>42461</v>
      </c>
      <c r="C213" s="3">
        <v>3000</v>
      </c>
      <c r="D213" s="10" t="s">
        <v>135</v>
      </c>
      <c r="E213" s="6">
        <v>8750000.0399999991</v>
      </c>
      <c r="F213" s="6">
        <f>8750000.04+389928</f>
        <v>9139928.0399999991</v>
      </c>
      <c r="G213" s="6">
        <v>3919298.64</v>
      </c>
      <c r="H213" s="3">
        <v>3100</v>
      </c>
      <c r="I213" s="10" t="s">
        <v>135</v>
      </c>
      <c r="J213" s="6">
        <v>8750000.0399999991</v>
      </c>
      <c r="K213" s="6">
        <f>8750000.04+389928</f>
        <v>9139928.0399999991</v>
      </c>
      <c r="L213" s="6">
        <v>3919298.64</v>
      </c>
      <c r="M213" s="23">
        <v>206</v>
      </c>
      <c r="N213" s="7" t="s">
        <v>238</v>
      </c>
      <c r="O213" s="20" t="s">
        <v>245</v>
      </c>
      <c r="P213" s="20" t="s">
        <v>245</v>
      </c>
      <c r="Q213" s="20" t="s">
        <v>245</v>
      </c>
      <c r="R213" s="21">
        <v>42561</v>
      </c>
      <c r="S213" s="22" t="s">
        <v>246</v>
      </c>
      <c r="T213" s="22">
        <v>2016</v>
      </c>
      <c r="U213" s="21">
        <v>42551</v>
      </c>
      <c r="V213" s="22"/>
    </row>
    <row r="214" spans="1:22" ht="19.5" customHeight="1" x14ac:dyDescent="0.3">
      <c r="A214" s="3">
        <v>2016</v>
      </c>
      <c r="B214" s="4">
        <v>42461</v>
      </c>
      <c r="C214" s="3">
        <v>3000</v>
      </c>
      <c r="D214" s="10" t="s">
        <v>136</v>
      </c>
      <c r="E214" s="6">
        <v>3000000</v>
      </c>
      <c r="F214" s="6">
        <f>3000000+664659</f>
        <v>3664659</v>
      </c>
      <c r="G214" s="6">
        <v>1751188</v>
      </c>
      <c r="H214" s="3">
        <v>3100</v>
      </c>
      <c r="I214" s="10" t="s">
        <v>136</v>
      </c>
      <c r="J214" s="6">
        <v>3000000</v>
      </c>
      <c r="K214" s="6">
        <f>3000000+664659</f>
        <v>3664659</v>
      </c>
      <c r="L214" s="6">
        <v>1751188</v>
      </c>
      <c r="M214" s="19">
        <v>207</v>
      </c>
      <c r="N214" s="7" t="s">
        <v>238</v>
      </c>
      <c r="O214" s="20" t="s">
        <v>245</v>
      </c>
      <c r="P214" s="20" t="s">
        <v>245</v>
      </c>
      <c r="Q214" s="20" t="s">
        <v>245</v>
      </c>
      <c r="R214" s="21">
        <v>42561</v>
      </c>
      <c r="S214" s="22" t="s">
        <v>246</v>
      </c>
      <c r="T214" s="22">
        <v>2016</v>
      </c>
      <c r="U214" s="21">
        <v>42551</v>
      </c>
      <c r="V214" s="22"/>
    </row>
    <row r="215" spans="1:22" ht="19.5" customHeight="1" x14ac:dyDescent="0.3">
      <c r="A215" s="3">
        <v>2016</v>
      </c>
      <c r="B215" s="4">
        <v>42461</v>
      </c>
      <c r="C215" s="3">
        <v>3000</v>
      </c>
      <c r="D215" s="10" t="s">
        <v>137</v>
      </c>
      <c r="E215" s="6">
        <v>1060000</v>
      </c>
      <c r="F215" s="6">
        <f>1060000+72601.24</f>
        <v>1132601.24</v>
      </c>
      <c r="G215" s="6">
        <v>461150.31</v>
      </c>
      <c r="H215" s="3">
        <v>3100</v>
      </c>
      <c r="I215" s="10" t="s">
        <v>137</v>
      </c>
      <c r="J215" s="6">
        <v>1060000</v>
      </c>
      <c r="K215" s="6">
        <f>1060000+72601.24</f>
        <v>1132601.24</v>
      </c>
      <c r="L215" s="6">
        <v>461150.31</v>
      </c>
      <c r="M215" s="23">
        <v>208</v>
      </c>
      <c r="N215" s="7" t="s">
        <v>238</v>
      </c>
      <c r="O215" s="20" t="s">
        <v>245</v>
      </c>
      <c r="P215" s="20" t="s">
        <v>245</v>
      </c>
      <c r="Q215" s="20" t="s">
        <v>245</v>
      </c>
      <c r="R215" s="21">
        <v>42561</v>
      </c>
      <c r="S215" s="22" t="s">
        <v>246</v>
      </c>
      <c r="T215" s="22">
        <v>2016</v>
      </c>
      <c r="U215" s="21">
        <v>42551</v>
      </c>
      <c r="V215" s="22"/>
    </row>
    <row r="216" spans="1:22" ht="19.5" customHeight="1" x14ac:dyDescent="0.3">
      <c r="A216" s="3">
        <v>2016</v>
      </c>
      <c r="B216" s="4">
        <v>42461</v>
      </c>
      <c r="C216" s="3">
        <v>3000</v>
      </c>
      <c r="D216" s="10" t="s">
        <v>138</v>
      </c>
      <c r="E216" s="6">
        <v>250000</v>
      </c>
      <c r="F216" s="6">
        <f>250000+47828.76</f>
        <v>297828.76</v>
      </c>
      <c r="G216" s="6">
        <f>36019+47828.76</f>
        <v>83847.760000000009</v>
      </c>
      <c r="H216" s="3">
        <v>3100</v>
      </c>
      <c r="I216" s="10" t="s">
        <v>138</v>
      </c>
      <c r="J216" s="6">
        <v>250000</v>
      </c>
      <c r="K216" s="6">
        <f>250000+47828.76</f>
        <v>297828.76</v>
      </c>
      <c r="L216" s="6">
        <f>36019+47828.76</f>
        <v>83847.760000000009</v>
      </c>
      <c r="M216" s="19">
        <v>209</v>
      </c>
      <c r="N216" s="7" t="s">
        <v>238</v>
      </c>
      <c r="O216" s="20" t="s">
        <v>245</v>
      </c>
      <c r="P216" s="20" t="s">
        <v>245</v>
      </c>
      <c r="Q216" s="20" t="s">
        <v>245</v>
      </c>
      <c r="R216" s="21">
        <v>42561</v>
      </c>
      <c r="S216" s="22" t="s">
        <v>246</v>
      </c>
      <c r="T216" s="22">
        <v>2016</v>
      </c>
      <c r="U216" s="21">
        <v>42551</v>
      </c>
      <c r="V216" s="22"/>
    </row>
    <row r="217" spans="1:22" ht="19.5" customHeight="1" x14ac:dyDescent="0.3">
      <c r="A217" s="3">
        <v>2016</v>
      </c>
      <c r="B217" s="4">
        <v>42461</v>
      </c>
      <c r="C217" s="3">
        <v>3000</v>
      </c>
      <c r="D217" s="10" t="s">
        <v>139</v>
      </c>
      <c r="E217" s="6">
        <v>5394510.0099999998</v>
      </c>
      <c r="F217" s="6">
        <v>5951541.4299999997</v>
      </c>
      <c r="G217" s="6">
        <v>1954144.04</v>
      </c>
      <c r="H217" s="3">
        <v>3100</v>
      </c>
      <c r="I217" s="10" t="s">
        <v>139</v>
      </c>
      <c r="J217" s="6">
        <v>5394510.0099999998</v>
      </c>
      <c r="K217" s="6">
        <v>5951541.4299999997</v>
      </c>
      <c r="L217" s="6">
        <v>1954144.04</v>
      </c>
      <c r="M217" s="23">
        <v>210</v>
      </c>
      <c r="N217" s="7" t="s">
        <v>238</v>
      </c>
      <c r="O217" s="20" t="s">
        <v>245</v>
      </c>
      <c r="P217" s="20" t="s">
        <v>245</v>
      </c>
      <c r="Q217" s="20" t="s">
        <v>245</v>
      </c>
      <c r="R217" s="21">
        <v>42561</v>
      </c>
      <c r="S217" s="22" t="s">
        <v>246</v>
      </c>
      <c r="T217" s="22">
        <v>2016</v>
      </c>
      <c r="U217" s="21">
        <v>42551</v>
      </c>
      <c r="V217" s="22"/>
    </row>
    <row r="218" spans="1:22" ht="19.5" customHeight="1" x14ac:dyDescent="0.3">
      <c r="A218" s="3">
        <v>2016</v>
      </c>
      <c r="B218" s="4">
        <v>42461</v>
      </c>
      <c r="C218" s="3">
        <v>3000</v>
      </c>
      <c r="D218" s="10" t="s">
        <v>140</v>
      </c>
      <c r="E218" s="6">
        <v>92680</v>
      </c>
      <c r="F218" s="6">
        <v>92782.47</v>
      </c>
      <c r="G218" s="6">
        <v>8887.93</v>
      </c>
      <c r="H218" s="3">
        <v>3100</v>
      </c>
      <c r="I218" s="10" t="s">
        <v>140</v>
      </c>
      <c r="J218" s="6">
        <v>92680</v>
      </c>
      <c r="K218" s="6">
        <v>92782.47</v>
      </c>
      <c r="L218" s="6">
        <v>8887.93</v>
      </c>
      <c r="M218" s="19">
        <v>211</v>
      </c>
      <c r="N218" s="7" t="s">
        <v>238</v>
      </c>
      <c r="O218" s="20" t="s">
        <v>245</v>
      </c>
      <c r="P218" s="20" t="s">
        <v>245</v>
      </c>
      <c r="Q218" s="20" t="s">
        <v>245</v>
      </c>
      <c r="R218" s="21">
        <v>42561</v>
      </c>
      <c r="S218" s="22" t="s">
        <v>246</v>
      </c>
      <c r="T218" s="22">
        <v>2016</v>
      </c>
      <c r="U218" s="21">
        <v>42551</v>
      </c>
      <c r="V218" s="22"/>
    </row>
    <row r="219" spans="1:22" ht="19.5" customHeight="1" x14ac:dyDescent="0.3">
      <c r="A219" s="3">
        <v>2016</v>
      </c>
      <c r="B219" s="4">
        <v>42461</v>
      </c>
      <c r="C219" s="3">
        <v>3000</v>
      </c>
      <c r="D219" s="7" t="s">
        <v>141</v>
      </c>
      <c r="E219" s="6">
        <v>2095714</v>
      </c>
      <c r="F219" s="6">
        <v>2183642</v>
      </c>
      <c r="G219" s="6">
        <v>95642</v>
      </c>
      <c r="H219" s="3">
        <v>3100</v>
      </c>
      <c r="I219" s="7" t="s">
        <v>141</v>
      </c>
      <c r="J219" s="6">
        <v>2095714</v>
      </c>
      <c r="K219" s="6">
        <v>2183642</v>
      </c>
      <c r="L219" s="6">
        <v>95642</v>
      </c>
      <c r="M219" s="23">
        <v>212</v>
      </c>
      <c r="N219" s="7" t="s">
        <v>238</v>
      </c>
      <c r="O219" s="20" t="s">
        <v>245</v>
      </c>
      <c r="P219" s="20" t="s">
        <v>245</v>
      </c>
      <c r="Q219" s="20" t="s">
        <v>245</v>
      </c>
      <c r="R219" s="21">
        <v>42561</v>
      </c>
      <c r="S219" s="22" t="s">
        <v>246</v>
      </c>
      <c r="T219" s="22">
        <v>2016</v>
      </c>
      <c r="U219" s="21">
        <v>42551</v>
      </c>
      <c r="V219" s="22"/>
    </row>
    <row r="220" spans="1:22" ht="19.5" customHeight="1" x14ac:dyDescent="0.3">
      <c r="A220" s="3">
        <v>2016</v>
      </c>
      <c r="B220" s="4">
        <v>42461</v>
      </c>
      <c r="C220" s="3">
        <v>3000</v>
      </c>
      <c r="D220" s="10" t="s">
        <v>142</v>
      </c>
      <c r="E220" s="6">
        <v>9127399.8000000007</v>
      </c>
      <c r="F220" s="6">
        <v>9127399.8000000007</v>
      </c>
      <c r="G220" s="6">
        <v>4520236.08</v>
      </c>
      <c r="H220" s="3">
        <v>3200</v>
      </c>
      <c r="I220" s="10" t="s">
        <v>142</v>
      </c>
      <c r="J220" s="6">
        <v>9127399.8000000007</v>
      </c>
      <c r="K220" s="6">
        <v>9127399.8000000007</v>
      </c>
      <c r="L220" s="6">
        <v>4520236.08</v>
      </c>
      <c r="M220" s="19">
        <v>213</v>
      </c>
      <c r="N220" s="7" t="s">
        <v>238</v>
      </c>
      <c r="O220" s="20" t="s">
        <v>245</v>
      </c>
      <c r="P220" s="20" t="s">
        <v>245</v>
      </c>
      <c r="Q220" s="20" t="s">
        <v>245</v>
      </c>
      <c r="R220" s="21">
        <v>42561</v>
      </c>
      <c r="S220" s="22" t="s">
        <v>246</v>
      </c>
      <c r="T220" s="22">
        <v>2016</v>
      </c>
      <c r="U220" s="21">
        <v>42551</v>
      </c>
      <c r="V220" s="22"/>
    </row>
    <row r="221" spans="1:22" ht="19.5" customHeight="1" x14ac:dyDescent="0.3">
      <c r="A221" s="3">
        <v>2016</v>
      </c>
      <c r="B221" s="4">
        <v>42461</v>
      </c>
      <c r="C221" s="3">
        <v>3000</v>
      </c>
      <c r="D221" s="10" t="s">
        <v>143</v>
      </c>
      <c r="E221" s="6">
        <v>116000</v>
      </c>
      <c r="F221" s="6">
        <v>139896</v>
      </c>
      <c r="G221" s="6">
        <v>23896</v>
      </c>
      <c r="H221" s="3">
        <v>3200</v>
      </c>
      <c r="I221" s="10" t="s">
        <v>143</v>
      </c>
      <c r="J221" s="6">
        <v>116000</v>
      </c>
      <c r="K221" s="6">
        <v>139896</v>
      </c>
      <c r="L221" s="6">
        <v>23896</v>
      </c>
      <c r="M221" s="23">
        <v>214</v>
      </c>
      <c r="N221" s="7" t="s">
        <v>238</v>
      </c>
      <c r="O221" s="20" t="s">
        <v>245</v>
      </c>
      <c r="P221" s="20" t="s">
        <v>245</v>
      </c>
      <c r="Q221" s="20" t="s">
        <v>245</v>
      </c>
      <c r="R221" s="21">
        <v>42561</v>
      </c>
      <c r="S221" s="22" t="s">
        <v>246</v>
      </c>
      <c r="T221" s="22">
        <v>2016</v>
      </c>
      <c r="U221" s="21">
        <v>42551</v>
      </c>
      <c r="V221" s="22"/>
    </row>
    <row r="222" spans="1:22" ht="19.5" customHeight="1" x14ac:dyDescent="0.3">
      <c r="A222" s="3">
        <v>2016</v>
      </c>
      <c r="B222" s="4">
        <v>42461</v>
      </c>
      <c r="C222" s="3">
        <v>3000</v>
      </c>
      <c r="D222" s="7" t="s">
        <v>144</v>
      </c>
      <c r="E222" s="6">
        <v>15000</v>
      </c>
      <c r="F222" s="6">
        <v>15000</v>
      </c>
      <c r="G222" s="6">
        <v>0</v>
      </c>
      <c r="H222" s="3">
        <v>3200</v>
      </c>
      <c r="I222" s="7" t="s">
        <v>144</v>
      </c>
      <c r="J222" s="6">
        <v>15000</v>
      </c>
      <c r="K222" s="6">
        <v>15000</v>
      </c>
      <c r="L222" s="6">
        <v>0</v>
      </c>
      <c r="M222" s="19">
        <v>215</v>
      </c>
      <c r="N222" s="7" t="s">
        <v>238</v>
      </c>
      <c r="O222" s="20" t="s">
        <v>245</v>
      </c>
      <c r="P222" s="20" t="s">
        <v>245</v>
      </c>
      <c r="Q222" s="20" t="s">
        <v>245</v>
      </c>
      <c r="R222" s="21">
        <v>42561</v>
      </c>
      <c r="S222" s="22" t="s">
        <v>246</v>
      </c>
      <c r="T222" s="22">
        <v>2016</v>
      </c>
      <c r="U222" s="21">
        <v>42551</v>
      </c>
      <c r="V222" s="22"/>
    </row>
    <row r="223" spans="1:22" ht="19.5" customHeight="1" x14ac:dyDescent="0.3">
      <c r="A223" s="3">
        <v>2016</v>
      </c>
      <c r="B223" s="4">
        <v>42461</v>
      </c>
      <c r="C223" s="3">
        <v>3000</v>
      </c>
      <c r="D223" s="10" t="s">
        <v>145</v>
      </c>
      <c r="E223" s="6">
        <v>1135065</v>
      </c>
      <c r="F223" s="6">
        <v>1162946.1299999999</v>
      </c>
      <c r="G223" s="6">
        <v>440265.95</v>
      </c>
      <c r="H223" s="3">
        <v>3200</v>
      </c>
      <c r="I223" s="10" t="s">
        <v>145</v>
      </c>
      <c r="J223" s="6">
        <v>1135065</v>
      </c>
      <c r="K223" s="6">
        <v>1162946.1299999999</v>
      </c>
      <c r="L223" s="6">
        <v>440265.95</v>
      </c>
      <c r="M223" s="23">
        <v>216</v>
      </c>
      <c r="N223" s="7" t="s">
        <v>238</v>
      </c>
      <c r="O223" s="20" t="s">
        <v>245</v>
      </c>
      <c r="P223" s="20" t="s">
        <v>245</v>
      </c>
      <c r="Q223" s="20" t="s">
        <v>245</v>
      </c>
      <c r="R223" s="21">
        <v>42561</v>
      </c>
      <c r="S223" s="22" t="s">
        <v>246</v>
      </c>
      <c r="T223" s="22">
        <v>2016</v>
      </c>
      <c r="U223" s="21">
        <v>42551</v>
      </c>
      <c r="V223" s="22"/>
    </row>
    <row r="224" spans="1:22" ht="19.5" customHeight="1" x14ac:dyDescent="0.3">
      <c r="A224" s="3">
        <v>2016</v>
      </c>
      <c r="B224" s="4">
        <v>42461</v>
      </c>
      <c r="C224" s="3">
        <v>3000</v>
      </c>
      <c r="D224" s="10" t="s">
        <v>146</v>
      </c>
      <c r="E224" s="6">
        <v>41000</v>
      </c>
      <c r="F224" s="6">
        <v>35600</v>
      </c>
      <c r="G224" s="6">
        <v>0</v>
      </c>
      <c r="H224" s="3">
        <v>3200</v>
      </c>
      <c r="I224" s="10" t="s">
        <v>146</v>
      </c>
      <c r="J224" s="6">
        <v>41000</v>
      </c>
      <c r="K224" s="6">
        <v>35600</v>
      </c>
      <c r="L224" s="6">
        <v>0</v>
      </c>
      <c r="M224" s="19">
        <v>217</v>
      </c>
      <c r="N224" s="7" t="s">
        <v>238</v>
      </c>
      <c r="O224" s="20" t="s">
        <v>245</v>
      </c>
      <c r="P224" s="20" t="s">
        <v>245</v>
      </c>
      <c r="Q224" s="20" t="s">
        <v>245</v>
      </c>
      <c r="R224" s="21">
        <v>42561</v>
      </c>
      <c r="S224" s="22" t="s">
        <v>246</v>
      </c>
      <c r="T224" s="22">
        <v>2016</v>
      </c>
      <c r="U224" s="21">
        <v>42551</v>
      </c>
      <c r="V224" s="22"/>
    </row>
    <row r="225" spans="1:22" ht="19.5" customHeight="1" x14ac:dyDescent="0.3">
      <c r="A225" s="3">
        <v>2016</v>
      </c>
      <c r="B225" s="4">
        <v>42461</v>
      </c>
      <c r="C225" s="3">
        <v>3000</v>
      </c>
      <c r="D225" s="10" t="s">
        <v>147</v>
      </c>
      <c r="E225" s="6">
        <v>7485000</v>
      </c>
      <c r="F225" s="6">
        <v>14075914</v>
      </c>
      <c r="G225" s="6">
        <v>344525.99</v>
      </c>
      <c r="H225" s="3">
        <v>3300</v>
      </c>
      <c r="I225" s="10" t="s">
        <v>147</v>
      </c>
      <c r="J225" s="6">
        <v>7485000</v>
      </c>
      <c r="K225" s="6">
        <v>14075914</v>
      </c>
      <c r="L225" s="6">
        <v>344525.99</v>
      </c>
      <c r="M225" s="23">
        <v>218</v>
      </c>
      <c r="N225" s="7" t="s">
        <v>238</v>
      </c>
      <c r="O225" s="20" t="s">
        <v>245</v>
      </c>
      <c r="P225" s="20" t="s">
        <v>245</v>
      </c>
      <c r="Q225" s="20" t="s">
        <v>245</v>
      </c>
      <c r="R225" s="21">
        <v>42561</v>
      </c>
      <c r="S225" s="22" t="s">
        <v>246</v>
      </c>
      <c r="T225" s="22">
        <v>2016</v>
      </c>
      <c r="U225" s="21">
        <v>42551</v>
      </c>
      <c r="V225" s="22"/>
    </row>
    <row r="226" spans="1:22" ht="19.5" customHeight="1" x14ac:dyDescent="0.3">
      <c r="A226" s="3">
        <v>2016</v>
      </c>
      <c r="B226" s="4">
        <v>42461</v>
      </c>
      <c r="C226" s="3">
        <v>3000</v>
      </c>
      <c r="D226" s="7" t="s">
        <v>148</v>
      </c>
      <c r="E226" s="6">
        <v>4500</v>
      </c>
      <c r="F226" s="6">
        <v>19801761.530000001</v>
      </c>
      <c r="G226" s="6">
        <v>1419838.29</v>
      </c>
      <c r="H226" s="3">
        <v>3300</v>
      </c>
      <c r="I226" s="7" t="s">
        <v>148</v>
      </c>
      <c r="J226" s="6">
        <v>4500</v>
      </c>
      <c r="K226" s="6">
        <v>19801761.530000001</v>
      </c>
      <c r="L226" s="6">
        <v>1419838.29</v>
      </c>
      <c r="M226" s="19">
        <v>219</v>
      </c>
      <c r="N226" s="7" t="s">
        <v>238</v>
      </c>
      <c r="O226" s="20" t="s">
        <v>245</v>
      </c>
      <c r="P226" s="20" t="s">
        <v>245</v>
      </c>
      <c r="Q226" s="20" t="s">
        <v>245</v>
      </c>
      <c r="R226" s="21">
        <v>42561</v>
      </c>
      <c r="S226" s="22" t="s">
        <v>246</v>
      </c>
      <c r="T226" s="22">
        <v>2016</v>
      </c>
      <c r="U226" s="21">
        <v>42551</v>
      </c>
      <c r="V226" s="22"/>
    </row>
    <row r="227" spans="1:22" ht="19.5" customHeight="1" x14ac:dyDescent="0.3">
      <c r="A227" s="3">
        <v>2016</v>
      </c>
      <c r="B227" s="4">
        <v>42461</v>
      </c>
      <c r="C227" s="3">
        <v>3000</v>
      </c>
      <c r="D227" s="10" t="s">
        <v>149</v>
      </c>
      <c r="E227" s="6">
        <v>2133390</v>
      </c>
      <c r="F227" s="6">
        <v>2619390</v>
      </c>
      <c r="G227" s="6">
        <v>928827.28</v>
      </c>
      <c r="H227" s="3">
        <v>3300</v>
      </c>
      <c r="I227" s="10" t="s">
        <v>149</v>
      </c>
      <c r="J227" s="6">
        <v>2133390</v>
      </c>
      <c r="K227" s="6">
        <v>2619390</v>
      </c>
      <c r="L227" s="6">
        <v>928827.28</v>
      </c>
      <c r="M227" s="23">
        <v>220</v>
      </c>
      <c r="N227" s="7" t="s">
        <v>238</v>
      </c>
      <c r="O227" s="20" t="s">
        <v>245</v>
      </c>
      <c r="P227" s="20" t="s">
        <v>245</v>
      </c>
      <c r="Q227" s="20" t="s">
        <v>245</v>
      </c>
      <c r="R227" s="21">
        <v>42561</v>
      </c>
      <c r="S227" s="22" t="s">
        <v>246</v>
      </c>
      <c r="T227" s="22">
        <v>2016</v>
      </c>
      <c r="U227" s="21">
        <v>42551</v>
      </c>
      <c r="V227" s="22"/>
    </row>
    <row r="228" spans="1:22" ht="19.5" customHeight="1" x14ac:dyDescent="0.3">
      <c r="A228" s="3">
        <v>2016</v>
      </c>
      <c r="B228" s="4">
        <v>42461</v>
      </c>
      <c r="C228" s="3">
        <v>3000</v>
      </c>
      <c r="D228" s="10" t="s">
        <v>150</v>
      </c>
      <c r="E228" s="6">
        <v>429134</v>
      </c>
      <c r="F228" s="6">
        <v>443036.6</v>
      </c>
      <c r="G228" s="6">
        <v>10944.6</v>
      </c>
      <c r="H228" s="3">
        <v>3300</v>
      </c>
      <c r="I228" s="10" t="s">
        <v>150</v>
      </c>
      <c r="J228" s="6">
        <v>429134</v>
      </c>
      <c r="K228" s="6">
        <v>443036.6</v>
      </c>
      <c r="L228" s="6">
        <v>10944.6</v>
      </c>
      <c r="M228" s="19">
        <v>221</v>
      </c>
      <c r="N228" s="7" t="s">
        <v>238</v>
      </c>
      <c r="O228" s="20" t="s">
        <v>245</v>
      </c>
      <c r="P228" s="20" t="s">
        <v>245</v>
      </c>
      <c r="Q228" s="20" t="s">
        <v>245</v>
      </c>
      <c r="R228" s="21">
        <v>42561</v>
      </c>
      <c r="S228" s="22" t="s">
        <v>246</v>
      </c>
      <c r="T228" s="22">
        <v>2016</v>
      </c>
      <c r="U228" s="21">
        <v>42551</v>
      </c>
      <c r="V228" s="22"/>
    </row>
    <row r="229" spans="1:22" ht="19.5" customHeight="1" x14ac:dyDescent="0.3">
      <c r="A229" s="3">
        <v>2016</v>
      </c>
      <c r="B229" s="4">
        <v>42461</v>
      </c>
      <c r="C229" s="3">
        <v>3000</v>
      </c>
      <c r="D229" s="10" t="s">
        <v>151</v>
      </c>
      <c r="E229" s="6">
        <v>3680970</v>
      </c>
      <c r="F229" s="6">
        <v>2803970</v>
      </c>
      <c r="G229" s="6">
        <v>0</v>
      </c>
      <c r="H229" s="3">
        <v>3300</v>
      </c>
      <c r="I229" s="10" t="s">
        <v>151</v>
      </c>
      <c r="J229" s="6">
        <v>3680970</v>
      </c>
      <c r="K229" s="6">
        <v>2803970</v>
      </c>
      <c r="L229" s="6">
        <v>0</v>
      </c>
      <c r="M229" s="23">
        <v>222</v>
      </c>
      <c r="N229" s="7" t="s">
        <v>238</v>
      </c>
      <c r="O229" s="20" t="s">
        <v>245</v>
      </c>
      <c r="P229" s="20" t="s">
        <v>245</v>
      </c>
      <c r="Q229" s="20" t="s">
        <v>245</v>
      </c>
      <c r="R229" s="21">
        <v>42561</v>
      </c>
      <c r="S229" s="22" t="s">
        <v>246</v>
      </c>
      <c r="T229" s="22">
        <v>2016</v>
      </c>
      <c r="U229" s="21">
        <v>42551</v>
      </c>
      <c r="V229" s="22"/>
    </row>
    <row r="230" spans="1:22" ht="19.5" customHeight="1" x14ac:dyDescent="0.3">
      <c r="A230" s="3">
        <v>2016</v>
      </c>
      <c r="B230" s="4">
        <v>42461</v>
      </c>
      <c r="C230" s="3">
        <v>3000</v>
      </c>
      <c r="D230" s="10" t="s">
        <v>152</v>
      </c>
      <c r="E230" s="6">
        <v>915767.8</v>
      </c>
      <c r="F230" s="6">
        <v>970021.31</v>
      </c>
      <c r="G230" s="6">
        <v>324862.90000000002</v>
      </c>
      <c r="H230" s="3">
        <v>3300</v>
      </c>
      <c r="I230" s="10" t="s">
        <v>152</v>
      </c>
      <c r="J230" s="6">
        <v>915767.8</v>
      </c>
      <c r="K230" s="6">
        <v>970021.31</v>
      </c>
      <c r="L230" s="6">
        <v>324862.90000000002</v>
      </c>
      <c r="M230" s="19">
        <v>223</v>
      </c>
      <c r="N230" s="7" t="s">
        <v>238</v>
      </c>
      <c r="O230" s="20" t="s">
        <v>245</v>
      </c>
      <c r="P230" s="20" t="s">
        <v>245</v>
      </c>
      <c r="Q230" s="20" t="s">
        <v>245</v>
      </c>
      <c r="R230" s="21">
        <v>42561</v>
      </c>
      <c r="S230" s="22" t="s">
        <v>246</v>
      </c>
      <c r="T230" s="22">
        <v>2016</v>
      </c>
      <c r="U230" s="21">
        <v>42551</v>
      </c>
      <c r="V230" s="22"/>
    </row>
    <row r="231" spans="1:22" ht="19.5" customHeight="1" x14ac:dyDescent="0.3">
      <c r="A231" s="3">
        <v>2016</v>
      </c>
      <c r="B231" s="4">
        <v>42461</v>
      </c>
      <c r="C231" s="3">
        <v>3000</v>
      </c>
      <c r="D231" s="10" t="s">
        <v>153</v>
      </c>
      <c r="E231" s="6">
        <v>562620</v>
      </c>
      <c r="F231" s="6">
        <v>1447494.13</v>
      </c>
      <c r="G231" s="6">
        <v>260708.36</v>
      </c>
      <c r="H231" s="3">
        <v>3300</v>
      </c>
      <c r="I231" s="10" t="s">
        <v>153</v>
      </c>
      <c r="J231" s="6">
        <v>562620</v>
      </c>
      <c r="K231" s="6">
        <v>1447494.13</v>
      </c>
      <c r="L231" s="6">
        <v>260708.36</v>
      </c>
      <c r="M231" s="23">
        <v>224</v>
      </c>
      <c r="N231" s="7" t="s">
        <v>238</v>
      </c>
      <c r="O231" s="20" t="s">
        <v>245</v>
      </c>
      <c r="P231" s="20" t="s">
        <v>245</v>
      </c>
      <c r="Q231" s="20" t="s">
        <v>245</v>
      </c>
      <c r="R231" s="21">
        <v>42561</v>
      </c>
      <c r="S231" s="22" t="s">
        <v>246</v>
      </c>
      <c r="T231" s="22">
        <v>2016</v>
      </c>
      <c r="U231" s="21">
        <v>42551</v>
      </c>
      <c r="V231" s="22"/>
    </row>
    <row r="232" spans="1:22" ht="19.5" customHeight="1" x14ac:dyDescent="0.3">
      <c r="A232" s="3">
        <v>2016</v>
      </c>
      <c r="B232" s="4">
        <v>42461</v>
      </c>
      <c r="C232" s="3">
        <v>3000</v>
      </c>
      <c r="D232" s="10" t="s">
        <v>154</v>
      </c>
      <c r="E232" s="6">
        <v>25024141.940000001</v>
      </c>
      <c r="F232" s="6">
        <v>31621860.890000001</v>
      </c>
      <c r="G232" s="6">
        <v>15115897.699999999</v>
      </c>
      <c r="H232" s="3">
        <v>3300</v>
      </c>
      <c r="I232" s="10" t="s">
        <v>154</v>
      </c>
      <c r="J232" s="6">
        <v>25024141.940000001</v>
      </c>
      <c r="K232" s="6">
        <v>31621860.890000001</v>
      </c>
      <c r="L232" s="6">
        <v>15115897.699999999</v>
      </c>
      <c r="M232" s="19">
        <v>225</v>
      </c>
      <c r="N232" s="7" t="s">
        <v>238</v>
      </c>
      <c r="O232" s="20" t="s">
        <v>245</v>
      </c>
      <c r="P232" s="20" t="s">
        <v>245</v>
      </c>
      <c r="Q232" s="20" t="s">
        <v>245</v>
      </c>
      <c r="R232" s="21">
        <v>42561</v>
      </c>
      <c r="S232" s="22" t="s">
        <v>246</v>
      </c>
      <c r="T232" s="22">
        <v>2016</v>
      </c>
      <c r="U232" s="21">
        <v>42551</v>
      </c>
      <c r="V232" s="22"/>
    </row>
    <row r="233" spans="1:22" ht="19.5" customHeight="1" x14ac:dyDescent="0.3">
      <c r="A233" s="3">
        <v>2016</v>
      </c>
      <c r="B233" s="4">
        <v>42461</v>
      </c>
      <c r="C233" s="3">
        <v>3000</v>
      </c>
      <c r="D233" s="10" t="s">
        <v>155</v>
      </c>
      <c r="E233" s="6">
        <v>2141791.66</v>
      </c>
      <c r="F233" s="6">
        <v>2445776.86</v>
      </c>
      <c r="G233" s="6">
        <v>320705.2</v>
      </c>
      <c r="H233" s="3">
        <v>3300</v>
      </c>
      <c r="I233" s="10" t="s">
        <v>155</v>
      </c>
      <c r="J233" s="6">
        <v>2141791.66</v>
      </c>
      <c r="K233" s="6">
        <v>2445776.86</v>
      </c>
      <c r="L233" s="6">
        <v>320705.2</v>
      </c>
      <c r="M233" s="23">
        <v>226</v>
      </c>
      <c r="N233" s="7" t="s">
        <v>238</v>
      </c>
      <c r="O233" s="20" t="s">
        <v>245</v>
      </c>
      <c r="P233" s="20" t="s">
        <v>245</v>
      </c>
      <c r="Q233" s="20" t="s">
        <v>245</v>
      </c>
      <c r="R233" s="21">
        <v>42561</v>
      </c>
      <c r="S233" s="22" t="s">
        <v>246</v>
      </c>
      <c r="T233" s="22">
        <v>2016</v>
      </c>
      <c r="U233" s="21">
        <v>42551</v>
      </c>
      <c r="V233" s="22"/>
    </row>
    <row r="234" spans="1:22" ht="19.5" customHeight="1" x14ac:dyDescent="0.3">
      <c r="A234" s="3">
        <v>2016</v>
      </c>
      <c r="B234" s="4">
        <v>42461</v>
      </c>
      <c r="C234" s="3">
        <v>3000</v>
      </c>
      <c r="D234" s="7" t="s">
        <v>156</v>
      </c>
      <c r="E234" s="6">
        <v>15000</v>
      </c>
      <c r="F234" s="6">
        <v>15000</v>
      </c>
      <c r="G234" s="6">
        <v>0</v>
      </c>
      <c r="H234" s="3">
        <v>3400</v>
      </c>
      <c r="I234" s="7" t="s">
        <v>156</v>
      </c>
      <c r="J234" s="6">
        <v>15000</v>
      </c>
      <c r="K234" s="6">
        <v>15000</v>
      </c>
      <c r="L234" s="6">
        <v>0</v>
      </c>
      <c r="M234" s="19">
        <v>227</v>
      </c>
      <c r="N234" s="7" t="s">
        <v>238</v>
      </c>
      <c r="O234" s="20" t="s">
        <v>245</v>
      </c>
      <c r="P234" s="20" t="s">
        <v>245</v>
      </c>
      <c r="Q234" s="20" t="s">
        <v>245</v>
      </c>
      <c r="R234" s="21">
        <v>42561</v>
      </c>
      <c r="S234" s="22" t="s">
        <v>246</v>
      </c>
      <c r="T234" s="22">
        <v>2016</v>
      </c>
      <c r="U234" s="21">
        <v>42551</v>
      </c>
      <c r="V234" s="22"/>
    </row>
    <row r="235" spans="1:22" ht="19.5" customHeight="1" x14ac:dyDescent="0.3">
      <c r="A235" s="3">
        <v>2016</v>
      </c>
      <c r="B235" s="4">
        <v>42461</v>
      </c>
      <c r="C235" s="3">
        <v>3000</v>
      </c>
      <c r="D235" s="10" t="s">
        <v>157</v>
      </c>
      <c r="E235" s="6">
        <v>2502790</v>
      </c>
      <c r="F235" s="6">
        <v>2155580</v>
      </c>
      <c r="G235" s="6">
        <v>96857.18</v>
      </c>
      <c r="H235" s="3">
        <v>3400</v>
      </c>
      <c r="I235" s="10" t="s">
        <v>157</v>
      </c>
      <c r="J235" s="6">
        <v>2502790</v>
      </c>
      <c r="K235" s="6">
        <v>2155580</v>
      </c>
      <c r="L235" s="6">
        <v>96857.18</v>
      </c>
      <c r="M235" s="23">
        <v>228</v>
      </c>
      <c r="N235" s="7" t="s">
        <v>238</v>
      </c>
      <c r="O235" s="20" t="s">
        <v>245</v>
      </c>
      <c r="P235" s="20" t="s">
        <v>245</v>
      </c>
      <c r="Q235" s="20" t="s">
        <v>245</v>
      </c>
      <c r="R235" s="21">
        <v>42561</v>
      </c>
      <c r="S235" s="22" t="s">
        <v>246</v>
      </c>
      <c r="T235" s="22">
        <v>2016</v>
      </c>
      <c r="U235" s="21">
        <v>42551</v>
      </c>
      <c r="V235" s="22"/>
    </row>
    <row r="236" spans="1:22" ht="19.5" customHeight="1" x14ac:dyDescent="0.3">
      <c r="A236" s="3">
        <v>2016</v>
      </c>
      <c r="B236" s="4">
        <v>42461</v>
      </c>
      <c r="C236" s="3">
        <v>3000</v>
      </c>
      <c r="D236" s="10" t="s">
        <v>158</v>
      </c>
      <c r="E236" s="6">
        <v>0</v>
      </c>
      <c r="F236" s="11">
        <v>85000</v>
      </c>
      <c r="G236" s="6">
        <v>0</v>
      </c>
      <c r="H236" s="3">
        <v>3400</v>
      </c>
      <c r="I236" s="10" t="s">
        <v>158</v>
      </c>
      <c r="J236" s="6">
        <v>0</v>
      </c>
      <c r="K236" s="11">
        <v>85000</v>
      </c>
      <c r="L236" s="6">
        <v>0</v>
      </c>
      <c r="M236" s="19">
        <v>229</v>
      </c>
      <c r="N236" s="7" t="s">
        <v>238</v>
      </c>
      <c r="O236" s="20" t="s">
        <v>245</v>
      </c>
      <c r="P236" s="20" t="s">
        <v>245</v>
      </c>
      <c r="Q236" s="20" t="s">
        <v>245</v>
      </c>
      <c r="R236" s="21">
        <v>42561</v>
      </c>
      <c r="S236" s="22" t="s">
        <v>246</v>
      </c>
      <c r="T236" s="22">
        <v>2016</v>
      </c>
      <c r="U236" s="21">
        <v>42551</v>
      </c>
      <c r="V236" s="22"/>
    </row>
    <row r="237" spans="1:22" ht="19.5" customHeight="1" x14ac:dyDescent="0.3">
      <c r="A237" s="3">
        <v>2016</v>
      </c>
      <c r="B237" s="4">
        <v>42461</v>
      </c>
      <c r="C237" s="3">
        <v>3000</v>
      </c>
      <c r="D237" s="10" t="s">
        <v>159</v>
      </c>
      <c r="E237" s="6">
        <v>155500</v>
      </c>
      <c r="F237" s="6">
        <v>22000</v>
      </c>
      <c r="G237" s="6">
        <v>0</v>
      </c>
      <c r="H237" s="3">
        <v>3400</v>
      </c>
      <c r="I237" s="10" t="s">
        <v>159</v>
      </c>
      <c r="J237" s="6">
        <v>155500</v>
      </c>
      <c r="K237" s="6">
        <v>22000</v>
      </c>
      <c r="L237" s="6">
        <v>0</v>
      </c>
      <c r="M237" s="23">
        <v>230</v>
      </c>
      <c r="N237" s="7" t="s">
        <v>238</v>
      </c>
      <c r="O237" s="20" t="s">
        <v>245</v>
      </c>
      <c r="P237" s="20" t="s">
        <v>245</v>
      </c>
      <c r="Q237" s="20" t="s">
        <v>245</v>
      </c>
      <c r="R237" s="21">
        <v>42561</v>
      </c>
      <c r="S237" s="22" t="s">
        <v>246</v>
      </c>
      <c r="T237" s="22">
        <v>2016</v>
      </c>
      <c r="U237" s="21">
        <v>42551</v>
      </c>
      <c r="V237" s="22"/>
    </row>
    <row r="238" spans="1:22" ht="19.5" customHeight="1" x14ac:dyDescent="0.3">
      <c r="A238" s="3">
        <v>2016</v>
      </c>
      <c r="B238" s="4">
        <v>42461</v>
      </c>
      <c r="C238" s="3">
        <v>3000</v>
      </c>
      <c r="D238" s="10" t="s">
        <v>160</v>
      </c>
      <c r="E238" s="6">
        <v>0</v>
      </c>
      <c r="F238" s="6">
        <v>94050</v>
      </c>
      <c r="G238" s="6">
        <v>0</v>
      </c>
      <c r="H238" s="3">
        <v>3500</v>
      </c>
      <c r="I238" s="10" t="s">
        <v>160</v>
      </c>
      <c r="J238" s="6">
        <v>0</v>
      </c>
      <c r="K238" s="6">
        <v>94050</v>
      </c>
      <c r="L238" s="6">
        <v>0</v>
      </c>
      <c r="M238" s="19">
        <v>231</v>
      </c>
      <c r="N238" s="7" t="s">
        <v>238</v>
      </c>
      <c r="O238" s="20" t="s">
        <v>245</v>
      </c>
      <c r="P238" s="20" t="s">
        <v>245</v>
      </c>
      <c r="Q238" s="20" t="s">
        <v>245</v>
      </c>
      <c r="R238" s="21">
        <v>42561</v>
      </c>
      <c r="S238" s="22" t="s">
        <v>246</v>
      </c>
      <c r="T238" s="22">
        <v>2016</v>
      </c>
      <c r="U238" s="21">
        <v>42551</v>
      </c>
      <c r="V238" s="22"/>
    </row>
    <row r="239" spans="1:22" ht="19.5" customHeight="1" x14ac:dyDescent="0.3">
      <c r="A239" s="3">
        <v>2016</v>
      </c>
      <c r="B239" s="4">
        <v>42461</v>
      </c>
      <c r="C239" s="3">
        <v>3000</v>
      </c>
      <c r="D239" s="10" t="s">
        <v>161</v>
      </c>
      <c r="E239" s="6">
        <v>141149</v>
      </c>
      <c r="F239" s="6">
        <v>131869</v>
      </c>
      <c r="G239" s="6">
        <v>1044</v>
      </c>
      <c r="H239" s="3">
        <v>3500</v>
      </c>
      <c r="I239" s="10" t="s">
        <v>161</v>
      </c>
      <c r="J239" s="6">
        <v>141149</v>
      </c>
      <c r="K239" s="6">
        <v>131869</v>
      </c>
      <c r="L239" s="6">
        <v>1044</v>
      </c>
      <c r="M239" s="23">
        <v>232</v>
      </c>
      <c r="N239" s="7" t="s">
        <v>238</v>
      </c>
      <c r="O239" s="20" t="s">
        <v>245</v>
      </c>
      <c r="P239" s="20" t="s">
        <v>245</v>
      </c>
      <c r="Q239" s="20" t="s">
        <v>245</v>
      </c>
      <c r="R239" s="21">
        <v>42561</v>
      </c>
      <c r="S239" s="22" t="s">
        <v>246</v>
      </c>
      <c r="T239" s="22">
        <v>2016</v>
      </c>
      <c r="U239" s="21">
        <v>42551</v>
      </c>
      <c r="V239" s="22"/>
    </row>
    <row r="240" spans="1:22" ht="19.5" customHeight="1" x14ac:dyDescent="0.3">
      <c r="A240" s="3">
        <v>2016</v>
      </c>
      <c r="B240" s="4">
        <v>42461</v>
      </c>
      <c r="C240" s="3">
        <v>3000</v>
      </c>
      <c r="D240" s="10" t="s">
        <v>162</v>
      </c>
      <c r="E240" s="6">
        <v>6090579.7999999998</v>
      </c>
      <c r="F240" s="6">
        <v>5249989.4800000004</v>
      </c>
      <c r="G240" s="6">
        <v>44344</v>
      </c>
      <c r="H240" s="3">
        <v>3500</v>
      </c>
      <c r="I240" s="10" t="s">
        <v>162</v>
      </c>
      <c r="J240" s="6">
        <v>6090579.7999999998</v>
      </c>
      <c r="K240" s="6">
        <v>5249989.4800000004</v>
      </c>
      <c r="L240" s="6">
        <v>44344</v>
      </c>
      <c r="M240" s="19">
        <v>233</v>
      </c>
      <c r="N240" s="7" t="s">
        <v>238</v>
      </c>
      <c r="O240" s="20" t="s">
        <v>245</v>
      </c>
      <c r="P240" s="20" t="s">
        <v>245</v>
      </c>
      <c r="Q240" s="20" t="s">
        <v>245</v>
      </c>
      <c r="R240" s="21">
        <v>42561</v>
      </c>
      <c r="S240" s="22" t="s">
        <v>246</v>
      </c>
      <c r="T240" s="22">
        <v>2016</v>
      </c>
      <c r="U240" s="21">
        <v>42551</v>
      </c>
      <c r="V240" s="22"/>
    </row>
    <row r="241" spans="1:22" ht="19.5" customHeight="1" x14ac:dyDescent="0.3">
      <c r="A241" s="3">
        <v>2016</v>
      </c>
      <c r="B241" s="4">
        <v>42461</v>
      </c>
      <c r="C241" s="3">
        <v>3000</v>
      </c>
      <c r="D241" s="10" t="s">
        <v>163</v>
      </c>
      <c r="E241" s="6">
        <v>5000</v>
      </c>
      <c r="F241" s="6">
        <v>711099.24</v>
      </c>
      <c r="G241" s="6">
        <v>156855.20000000001</v>
      </c>
      <c r="H241" s="3">
        <v>3500</v>
      </c>
      <c r="I241" s="10" t="s">
        <v>163</v>
      </c>
      <c r="J241" s="6">
        <v>5000</v>
      </c>
      <c r="K241" s="6">
        <v>711099.24</v>
      </c>
      <c r="L241" s="6">
        <v>156855.20000000001</v>
      </c>
      <c r="M241" s="23">
        <v>234</v>
      </c>
      <c r="N241" s="7" t="s">
        <v>238</v>
      </c>
      <c r="O241" s="20" t="s">
        <v>245</v>
      </c>
      <c r="P241" s="20" t="s">
        <v>245</v>
      </c>
      <c r="Q241" s="20" t="s">
        <v>245</v>
      </c>
      <c r="R241" s="21">
        <v>42561</v>
      </c>
      <c r="S241" s="22" t="s">
        <v>246</v>
      </c>
      <c r="T241" s="22">
        <v>2016</v>
      </c>
      <c r="U241" s="21">
        <v>42551</v>
      </c>
      <c r="V241" s="22"/>
    </row>
    <row r="242" spans="1:22" ht="19.5" customHeight="1" x14ac:dyDescent="0.3">
      <c r="A242" s="3">
        <v>2016</v>
      </c>
      <c r="B242" s="4">
        <v>42461</v>
      </c>
      <c r="C242" s="3">
        <v>3000</v>
      </c>
      <c r="D242" s="10" t="s">
        <v>164</v>
      </c>
      <c r="E242" s="6">
        <v>460416.67</v>
      </c>
      <c r="F242" s="6">
        <f>460416.67+27724</f>
        <v>488140.67</v>
      </c>
      <c r="G242" s="6">
        <v>154832.59</v>
      </c>
      <c r="H242" s="3">
        <v>3500</v>
      </c>
      <c r="I242" s="10" t="s">
        <v>164</v>
      </c>
      <c r="J242" s="6">
        <v>460416.67</v>
      </c>
      <c r="K242" s="6">
        <f>460416.67+27724</f>
        <v>488140.67</v>
      </c>
      <c r="L242" s="6">
        <v>154832.59</v>
      </c>
      <c r="M242" s="19">
        <v>235</v>
      </c>
      <c r="N242" s="7" t="s">
        <v>238</v>
      </c>
      <c r="O242" s="20" t="s">
        <v>245</v>
      </c>
      <c r="P242" s="20" t="s">
        <v>245</v>
      </c>
      <c r="Q242" s="20" t="s">
        <v>245</v>
      </c>
      <c r="R242" s="21">
        <v>42561</v>
      </c>
      <c r="S242" s="22" t="s">
        <v>246</v>
      </c>
      <c r="T242" s="22">
        <v>2016</v>
      </c>
      <c r="U242" s="21">
        <v>42551</v>
      </c>
      <c r="V242" s="22"/>
    </row>
    <row r="243" spans="1:22" ht="19.5" customHeight="1" x14ac:dyDescent="0.3">
      <c r="A243" s="3">
        <v>2016</v>
      </c>
      <c r="B243" s="4">
        <v>42461</v>
      </c>
      <c r="C243" s="3">
        <v>3000</v>
      </c>
      <c r="D243" s="10" t="s">
        <v>165</v>
      </c>
      <c r="E243" s="6">
        <v>395000</v>
      </c>
      <c r="F243" s="6">
        <v>583573.07999999996</v>
      </c>
      <c r="G243" s="6">
        <f>82170.78+188573.08</f>
        <v>270743.86</v>
      </c>
      <c r="H243" s="3">
        <v>3500</v>
      </c>
      <c r="I243" s="10" t="s">
        <v>165</v>
      </c>
      <c r="J243" s="6">
        <v>395000</v>
      </c>
      <c r="K243" s="6">
        <v>583573.07999999996</v>
      </c>
      <c r="L243" s="6">
        <f>82170.78+188573.08</f>
        <v>270743.86</v>
      </c>
      <c r="M243" s="23">
        <v>236</v>
      </c>
      <c r="N243" s="7" t="s">
        <v>238</v>
      </c>
      <c r="O243" s="20" t="s">
        <v>245</v>
      </c>
      <c r="P243" s="20" t="s">
        <v>245</v>
      </c>
      <c r="Q243" s="20" t="s">
        <v>245</v>
      </c>
      <c r="R243" s="21">
        <v>42561</v>
      </c>
      <c r="S243" s="22" t="s">
        <v>246</v>
      </c>
      <c r="T243" s="22">
        <v>2016</v>
      </c>
      <c r="U243" s="21">
        <v>42551</v>
      </c>
      <c r="V243" s="22"/>
    </row>
    <row r="244" spans="1:22" ht="19.5" customHeight="1" x14ac:dyDescent="0.3">
      <c r="A244" s="3">
        <v>2016</v>
      </c>
      <c r="B244" s="4">
        <v>42461</v>
      </c>
      <c r="C244" s="3">
        <v>3000</v>
      </c>
      <c r="D244" s="10" t="s">
        <v>166</v>
      </c>
      <c r="E244" s="6">
        <v>863783.84</v>
      </c>
      <c r="F244" s="6">
        <v>4090980.87</v>
      </c>
      <c r="G244" s="6">
        <v>335189.49</v>
      </c>
      <c r="H244" s="3">
        <v>3500</v>
      </c>
      <c r="I244" s="10" t="s">
        <v>166</v>
      </c>
      <c r="J244" s="6">
        <v>863783.84</v>
      </c>
      <c r="K244" s="6">
        <v>4090980.87</v>
      </c>
      <c r="L244" s="6">
        <v>335189.49</v>
      </c>
      <c r="M244" s="19">
        <v>237</v>
      </c>
      <c r="N244" s="7" t="s">
        <v>238</v>
      </c>
      <c r="O244" s="20" t="s">
        <v>245</v>
      </c>
      <c r="P244" s="20" t="s">
        <v>245</v>
      </c>
      <c r="Q244" s="20" t="s">
        <v>245</v>
      </c>
      <c r="R244" s="21">
        <v>42561</v>
      </c>
      <c r="S244" s="22" t="s">
        <v>246</v>
      </c>
      <c r="T244" s="22">
        <v>2016</v>
      </c>
      <c r="U244" s="21">
        <v>42551</v>
      </c>
      <c r="V244" s="22"/>
    </row>
    <row r="245" spans="1:22" ht="19.5" customHeight="1" x14ac:dyDescent="0.3">
      <c r="A245" s="3">
        <v>2016</v>
      </c>
      <c r="B245" s="4">
        <v>42461</v>
      </c>
      <c r="C245" s="3">
        <v>3000</v>
      </c>
      <c r="D245" s="10" t="s">
        <v>167</v>
      </c>
      <c r="E245" s="6">
        <v>124128</v>
      </c>
      <c r="F245" s="6">
        <f>124128+115599.8</f>
        <v>239727.8</v>
      </c>
      <c r="G245" s="6">
        <v>117455.8</v>
      </c>
      <c r="H245" s="3">
        <v>3500</v>
      </c>
      <c r="I245" s="10" t="s">
        <v>167</v>
      </c>
      <c r="J245" s="6">
        <v>124128</v>
      </c>
      <c r="K245" s="6">
        <f>124128+115599.8</f>
        <v>239727.8</v>
      </c>
      <c r="L245" s="6">
        <v>117455.8</v>
      </c>
      <c r="M245" s="23">
        <v>238</v>
      </c>
      <c r="N245" s="7" t="s">
        <v>238</v>
      </c>
      <c r="O245" s="20" t="s">
        <v>245</v>
      </c>
      <c r="P245" s="20" t="s">
        <v>245</v>
      </c>
      <c r="Q245" s="20" t="s">
        <v>245</v>
      </c>
      <c r="R245" s="21">
        <v>42561</v>
      </c>
      <c r="S245" s="22" t="s">
        <v>246</v>
      </c>
      <c r="T245" s="22">
        <v>2016</v>
      </c>
      <c r="U245" s="21">
        <v>42551</v>
      </c>
      <c r="V245" s="22"/>
    </row>
    <row r="246" spans="1:22" ht="19.5" customHeight="1" x14ac:dyDescent="0.3">
      <c r="A246" s="3">
        <v>2016</v>
      </c>
      <c r="B246" s="4">
        <v>42461</v>
      </c>
      <c r="C246" s="3">
        <v>3000</v>
      </c>
      <c r="D246" s="10" t="s">
        <v>168</v>
      </c>
      <c r="E246" s="6">
        <v>239163.2</v>
      </c>
      <c r="F246" s="6">
        <v>412828.2</v>
      </c>
      <c r="G246" s="6">
        <v>83549</v>
      </c>
      <c r="H246" s="3">
        <v>3500</v>
      </c>
      <c r="I246" s="10" t="s">
        <v>168</v>
      </c>
      <c r="J246" s="6">
        <v>239163.2</v>
      </c>
      <c r="K246" s="6">
        <v>412828.2</v>
      </c>
      <c r="L246" s="6">
        <v>83549</v>
      </c>
      <c r="M246" s="19">
        <v>239</v>
      </c>
      <c r="N246" s="7" t="s">
        <v>238</v>
      </c>
      <c r="O246" s="20" t="s">
        <v>245</v>
      </c>
      <c r="P246" s="20" t="s">
        <v>245</v>
      </c>
      <c r="Q246" s="20" t="s">
        <v>245</v>
      </c>
      <c r="R246" s="21">
        <v>42561</v>
      </c>
      <c r="S246" s="22" t="s">
        <v>246</v>
      </c>
      <c r="T246" s="22">
        <v>2016</v>
      </c>
      <c r="U246" s="21">
        <v>42551</v>
      </c>
      <c r="V246" s="22"/>
    </row>
    <row r="247" spans="1:22" ht="19.5" customHeight="1" x14ac:dyDescent="0.3">
      <c r="A247" s="3">
        <v>2016</v>
      </c>
      <c r="B247" s="4">
        <v>42461</v>
      </c>
      <c r="C247" s="3">
        <v>3000</v>
      </c>
      <c r="D247" s="12" t="s">
        <v>169</v>
      </c>
      <c r="E247" s="6">
        <v>5335410</v>
      </c>
      <c r="F247" s="6">
        <v>4895851.99</v>
      </c>
      <c r="G247" s="6">
        <v>642765.56999999995</v>
      </c>
      <c r="H247" s="3">
        <v>3600</v>
      </c>
      <c r="I247" s="12" t="s">
        <v>169</v>
      </c>
      <c r="J247" s="6">
        <v>5335410</v>
      </c>
      <c r="K247" s="6">
        <v>4895851.99</v>
      </c>
      <c r="L247" s="6">
        <v>642765.56999999995</v>
      </c>
      <c r="M247" s="23">
        <v>240</v>
      </c>
      <c r="N247" s="7" t="s">
        <v>238</v>
      </c>
      <c r="O247" s="20" t="s">
        <v>245</v>
      </c>
      <c r="P247" s="20" t="s">
        <v>245</v>
      </c>
      <c r="Q247" s="20" t="s">
        <v>245</v>
      </c>
      <c r="R247" s="21">
        <v>42561</v>
      </c>
      <c r="S247" s="22" t="s">
        <v>246</v>
      </c>
      <c r="T247" s="22">
        <v>2016</v>
      </c>
      <c r="U247" s="21">
        <v>42551</v>
      </c>
      <c r="V247" s="22"/>
    </row>
    <row r="248" spans="1:22" ht="19.5" customHeight="1" x14ac:dyDescent="0.3">
      <c r="A248" s="3">
        <v>2016</v>
      </c>
      <c r="B248" s="4">
        <v>42461</v>
      </c>
      <c r="C248" s="3">
        <v>3000</v>
      </c>
      <c r="D248" s="7" t="s">
        <v>170</v>
      </c>
      <c r="E248" s="6">
        <v>84000</v>
      </c>
      <c r="F248" s="6">
        <v>151983.20000000001</v>
      </c>
      <c r="G248" s="6">
        <v>0</v>
      </c>
      <c r="H248" s="3">
        <v>3600</v>
      </c>
      <c r="I248" s="7" t="s">
        <v>170</v>
      </c>
      <c r="J248" s="6">
        <v>84000</v>
      </c>
      <c r="K248" s="6">
        <v>151983.20000000001</v>
      </c>
      <c r="L248" s="6">
        <v>0</v>
      </c>
      <c r="M248" s="19">
        <v>241</v>
      </c>
      <c r="N248" s="7" t="s">
        <v>238</v>
      </c>
      <c r="O248" s="20" t="s">
        <v>245</v>
      </c>
      <c r="P248" s="20" t="s">
        <v>245</v>
      </c>
      <c r="Q248" s="20" t="s">
        <v>245</v>
      </c>
      <c r="R248" s="21">
        <v>42561</v>
      </c>
      <c r="S248" s="22" t="s">
        <v>246</v>
      </c>
      <c r="T248" s="22">
        <v>2016</v>
      </c>
      <c r="U248" s="21">
        <v>42551</v>
      </c>
      <c r="V248" s="22"/>
    </row>
    <row r="249" spans="1:22" ht="19.5" customHeight="1" x14ac:dyDescent="0.3">
      <c r="A249" s="3">
        <v>2016</v>
      </c>
      <c r="B249" s="4">
        <v>42461</v>
      </c>
      <c r="C249" s="3">
        <v>3000</v>
      </c>
      <c r="D249" s="10" t="s">
        <v>171</v>
      </c>
      <c r="E249" s="6">
        <v>118008</v>
      </c>
      <c r="F249" s="6">
        <v>36249</v>
      </c>
      <c r="G249" s="6">
        <v>0</v>
      </c>
      <c r="H249" s="3">
        <v>3600</v>
      </c>
      <c r="I249" s="10" t="s">
        <v>171</v>
      </c>
      <c r="J249" s="6">
        <v>118008</v>
      </c>
      <c r="K249" s="6">
        <v>36249</v>
      </c>
      <c r="L249" s="6">
        <v>0</v>
      </c>
      <c r="M249" s="23">
        <v>242</v>
      </c>
      <c r="N249" s="7" t="s">
        <v>238</v>
      </c>
      <c r="O249" s="20" t="s">
        <v>245</v>
      </c>
      <c r="P249" s="20" t="s">
        <v>245</v>
      </c>
      <c r="Q249" s="20" t="s">
        <v>245</v>
      </c>
      <c r="R249" s="21">
        <v>42561</v>
      </c>
      <c r="S249" s="22" t="s">
        <v>246</v>
      </c>
      <c r="T249" s="22">
        <v>2016</v>
      </c>
      <c r="U249" s="21">
        <v>42551</v>
      </c>
      <c r="V249" s="22"/>
    </row>
    <row r="250" spans="1:22" ht="19.5" customHeight="1" x14ac:dyDescent="0.3">
      <c r="A250" s="3">
        <v>2016</v>
      </c>
      <c r="B250" s="4">
        <v>42461</v>
      </c>
      <c r="C250" s="3">
        <v>3000</v>
      </c>
      <c r="D250" s="7" t="s">
        <v>172</v>
      </c>
      <c r="E250" s="6">
        <v>1000</v>
      </c>
      <c r="F250" s="6">
        <v>1000</v>
      </c>
      <c r="G250" s="6">
        <v>0</v>
      </c>
      <c r="H250" s="3">
        <v>3600</v>
      </c>
      <c r="I250" s="7" t="s">
        <v>172</v>
      </c>
      <c r="J250" s="6">
        <v>1000</v>
      </c>
      <c r="K250" s="6">
        <v>1000</v>
      </c>
      <c r="L250" s="6">
        <v>0</v>
      </c>
      <c r="M250" s="19">
        <v>243</v>
      </c>
      <c r="N250" s="7" t="s">
        <v>238</v>
      </c>
      <c r="O250" s="20" t="s">
        <v>245</v>
      </c>
      <c r="P250" s="20" t="s">
        <v>245</v>
      </c>
      <c r="Q250" s="20" t="s">
        <v>245</v>
      </c>
      <c r="R250" s="21">
        <v>42561</v>
      </c>
      <c r="S250" s="22" t="s">
        <v>246</v>
      </c>
      <c r="T250" s="22">
        <v>2016</v>
      </c>
      <c r="U250" s="21">
        <v>42551</v>
      </c>
      <c r="V250" s="22"/>
    </row>
    <row r="251" spans="1:22" ht="19.5" customHeight="1" x14ac:dyDescent="0.3">
      <c r="A251" s="3">
        <v>2016</v>
      </c>
      <c r="B251" s="4">
        <v>42461</v>
      </c>
      <c r="C251" s="3">
        <v>3000</v>
      </c>
      <c r="D251" s="10" t="s">
        <v>173</v>
      </c>
      <c r="E251" s="6">
        <v>324100</v>
      </c>
      <c r="F251" s="6">
        <v>284497</v>
      </c>
      <c r="G251" s="6">
        <v>6469</v>
      </c>
      <c r="H251" s="3">
        <v>3700</v>
      </c>
      <c r="I251" s="10" t="s">
        <v>173</v>
      </c>
      <c r="J251" s="6">
        <v>324100</v>
      </c>
      <c r="K251" s="6">
        <v>284497</v>
      </c>
      <c r="L251" s="6">
        <v>6469</v>
      </c>
      <c r="M251" s="23">
        <v>244</v>
      </c>
      <c r="N251" s="7" t="s">
        <v>238</v>
      </c>
      <c r="O251" s="20" t="s">
        <v>245</v>
      </c>
      <c r="P251" s="20" t="s">
        <v>245</v>
      </c>
      <c r="Q251" s="20" t="s">
        <v>245</v>
      </c>
      <c r="R251" s="21">
        <v>42561</v>
      </c>
      <c r="S251" s="22" t="s">
        <v>246</v>
      </c>
      <c r="T251" s="22">
        <v>2016</v>
      </c>
      <c r="U251" s="21">
        <v>42551</v>
      </c>
      <c r="V251" s="22"/>
    </row>
    <row r="252" spans="1:22" ht="19.5" customHeight="1" x14ac:dyDescent="0.3">
      <c r="A252" s="3">
        <v>2016</v>
      </c>
      <c r="B252" s="4">
        <v>42461</v>
      </c>
      <c r="C252" s="3">
        <v>3000</v>
      </c>
      <c r="D252" s="10" t="s">
        <v>174</v>
      </c>
      <c r="E252" s="6">
        <v>414840</v>
      </c>
      <c r="F252" s="6">
        <v>553192.39</v>
      </c>
      <c r="G252" s="6">
        <v>85525.95</v>
      </c>
      <c r="H252" s="3">
        <v>3700</v>
      </c>
      <c r="I252" s="10" t="s">
        <v>174</v>
      </c>
      <c r="J252" s="6">
        <v>414840</v>
      </c>
      <c r="K252" s="6">
        <v>553192.39</v>
      </c>
      <c r="L252" s="6">
        <v>85525.95</v>
      </c>
      <c r="M252" s="19">
        <v>245</v>
      </c>
      <c r="N252" s="7" t="s">
        <v>238</v>
      </c>
      <c r="O252" s="20" t="s">
        <v>245</v>
      </c>
      <c r="P252" s="20" t="s">
        <v>245</v>
      </c>
      <c r="Q252" s="20" t="s">
        <v>245</v>
      </c>
      <c r="R252" s="21">
        <v>42561</v>
      </c>
      <c r="S252" s="22" t="s">
        <v>246</v>
      </c>
      <c r="T252" s="22">
        <v>2016</v>
      </c>
      <c r="U252" s="21">
        <v>42551</v>
      </c>
      <c r="V252" s="22"/>
    </row>
    <row r="253" spans="1:22" ht="19.5" customHeight="1" x14ac:dyDescent="0.3">
      <c r="A253" s="3">
        <v>2016</v>
      </c>
      <c r="B253" s="4">
        <v>42461</v>
      </c>
      <c r="C253" s="3">
        <v>3000</v>
      </c>
      <c r="D253" s="10" t="s">
        <v>175</v>
      </c>
      <c r="E253" s="6">
        <v>59300</v>
      </c>
      <c r="F253" s="6">
        <v>75700</v>
      </c>
      <c r="G253" s="6">
        <v>0</v>
      </c>
      <c r="H253" s="3">
        <v>3700</v>
      </c>
      <c r="I253" s="10" t="s">
        <v>175</v>
      </c>
      <c r="J253" s="6">
        <v>59300</v>
      </c>
      <c r="K253" s="6">
        <v>75700</v>
      </c>
      <c r="L253" s="6">
        <v>0</v>
      </c>
      <c r="M253" s="23">
        <v>246</v>
      </c>
      <c r="N253" s="7" t="s">
        <v>238</v>
      </c>
      <c r="O253" s="20" t="s">
        <v>245</v>
      </c>
      <c r="P253" s="20" t="s">
        <v>245</v>
      </c>
      <c r="Q253" s="20" t="s">
        <v>245</v>
      </c>
      <c r="R253" s="21">
        <v>42561</v>
      </c>
      <c r="S253" s="22" t="s">
        <v>246</v>
      </c>
      <c r="T253" s="22">
        <v>2016</v>
      </c>
      <c r="U253" s="21">
        <v>42551</v>
      </c>
      <c r="V253" s="22"/>
    </row>
    <row r="254" spans="1:22" ht="19.5" customHeight="1" x14ac:dyDescent="0.3">
      <c r="A254" s="3">
        <v>2016</v>
      </c>
      <c r="B254" s="4">
        <v>42461</v>
      </c>
      <c r="C254" s="3">
        <v>3000</v>
      </c>
      <c r="D254" s="10" t="s">
        <v>176</v>
      </c>
      <c r="E254" s="6">
        <v>45600</v>
      </c>
      <c r="F254" s="6">
        <v>101740</v>
      </c>
      <c r="G254" s="6">
        <v>7990</v>
      </c>
      <c r="H254" s="3">
        <v>3700</v>
      </c>
      <c r="I254" s="10" t="s">
        <v>176</v>
      </c>
      <c r="J254" s="6">
        <v>45600</v>
      </c>
      <c r="K254" s="6">
        <v>101740</v>
      </c>
      <c r="L254" s="6">
        <v>7990</v>
      </c>
      <c r="M254" s="19">
        <v>247</v>
      </c>
      <c r="N254" s="7" t="s">
        <v>238</v>
      </c>
      <c r="O254" s="20" t="s">
        <v>245</v>
      </c>
      <c r="P254" s="20" t="s">
        <v>245</v>
      </c>
      <c r="Q254" s="20" t="s">
        <v>245</v>
      </c>
      <c r="R254" s="21">
        <v>42561</v>
      </c>
      <c r="S254" s="22" t="s">
        <v>246</v>
      </c>
      <c r="T254" s="22">
        <v>2016</v>
      </c>
      <c r="U254" s="21">
        <v>42551</v>
      </c>
      <c r="V254" s="22"/>
    </row>
    <row r="255" spans="1:22" ht="19.5" customHeight="1" x14ac:dyDescent="0.3">
      <c r="A255" s="3">
        <v>2016</v>
      </c>
      <c r="B255" s="4">
        <v>42461</v>
      </c>
      <c r="C255" s="3">
        <v>3000</v>
      </c>
      <c r="D255" s="7" t="s">
        <v>177</v>
      </c>
      <c r="E255" s="6">
        <v>104337.60000000001</v>
      </c>
      <c r="F255" s="6">
        <v>104337.60000000001</v>
      </c>
      <c r="G255" s="6">
        <v>0</v>
      </c>
      <c r="H255" s="3">
        <v>3700</v>
      </c>
      <c r="I255" s="7" t="s">
        <v>177</v>
      </c>
      <c r="J255" s="6">
        <v>104337.60000000001</v>
      </c>
      <c r="K255" s="6">
        <v>104337.60000000001</v>
      </c>
      <c r="L255" s="6">
        <v>0</v>
      </c>
      <c r="M255" s="23">
        <v>248</v>
      </c>
      <c r="N255" s="7" t="s">
        <v>238</v>
      </c>
      <c r="O255" s="20" t="s">
        <v>245</v>
      </c>
      <c r="P255" s="20" t="s">
        <v>245</v>
      </c>
      <c r="Q255" s="20" t="s">
        <v>245</v>
      </c>
      <c r="R255" s="21">
        <v>42561</v>
      </c>
      <c r="S255" s="22" t="s">
        <v>246</v>
      </c>
      <c r="T255" s="22">
        <v>2016</v>
      </c>
      <c r="U255" s="21">
        <v>42551</v>
      </c>
      <c r="V255" s="22"/>
    </row>
    <row r="256" spans="1:22" ht="19.5" customHeight="1" x14ac:dyDescent="0.3">
      <c r="A256" s="3">
        <v>2016</v>
      </c>
      <c r="B256" s="4">
        <v>42461</v>
      </c>
      <c r="C256" s="3">
        <v>3000</v>
      </c>
      <c r="D256" s="7" t="s">
        <v>178</v>
      </c>
      <c r="E256" s="6">
        <v>2000</v>
      </c>
      <c r="F256" s="6">
        <v>2000</v>
      </c>
      <c r="G256" s="6">
        <v>0</v>
      </c>
      <c r="H256" s="3">
        <v>3700</v>
      </c>
      <c r="I256" s="7" t="s">
        <v>178</v>
      </c>
      <c r="J256" s="6">
        <v>2000</v>
      </c>
      <c r="K256" s="6">
        <v>2000</v>
      </c>
      <c r="L256" s="6">
        <v>0</v>
      </c>
      <c r="M256" s="19">
        <v>249</v>
      </c>
      <c r="N256" s="7" t="s">
        <v>238</v>
      </c>
      <c r="O256" s="20" t="s">
        <v>245</v>
      </c>
      <c r="P256" s="20" t="s">
        <v>245</v>
      </c>
      <c r="Q256" s="20" t="s">
        <v>245</v>
      </c>
      <c r="R256" s="21">
        <v>42561</v>
      </c>
      <c r="S256" s="22" t="s">
        <v>246</v>
      </c>
      <c r="T256" s="22">
        <v>2016</v>
      </c>
      <c r="U256" s="21">
        <v>42551</v>
      </c>
      <c r="V256" s="22"/>
    </row>
    <row r="257" spans="1:22" ht="19.5" customHeight="1" x14ac:dyDescent="0.3">
      <c r="A257" s="3">
        <v>2016</v>
      </c>
      <c r="B257" s="4">
        <v>42461</v>
      </c>
      <c r="C257" s="3">
        <v>3000</v>
      </c>
      <c r="D257" s="10" t="s">
        <v>179</v>
      </c>
      <c r="E257" s="6">
        <v>710243.33</v>
      </c>
      <c r="F257" s="6">
        <v>786452.31</v>
      </c>
      <c r="G257" s="6">
        <v>23104.16</v>
      </c>
      <c r="H257" s="3">
        <v>3700</v>
      </c>
      <c r="I257" s="10" t="s">
        <v>179</v>
      </c>
      <c r="J257" s="6">
        <v>710243.33</v>
      </c>
      <c r="K257" s="6">
        <v>786452.31</v>
      </c>
      <c r="L257" s="6">
        <v>23104.16</v>
      </c>
      <c r="M257" s="23">
        <v>250</v>
      </c>
      <c r="N257" s="7" t="s">
        <v>238</v>
      </c>
      <c r="O257" s="20" t="s">
        <v>245</v>
      </c>
      <c r="P257" s="20" t="s">
        <v>245</v>
      </c>
      <c r="Q257" s="20" t="s">
        <v>245</v>
      </c>
      <c r="R257" s="21">
        <v>42561</v>
      </c>
      <c r="S257" s="22" t="s">
        <v>246</v>
      </c>
      <c r="T257" s="22">
        <v>2016</v>
      </c>
      <c r="U257" s="21">
        <v>42551</v>
      </c>
      <c r="V257" s="22"/>
    </row>
    <row r="258" spans="1:22" ht="19.5" customHeight="1" x14ac:dyDescent="0.3">
      <c r="A258" s="3">
        <v>2016</v>
      </c>
      <c r="B258" s="4">
        <v>42461</v>
      </c>
      <c r="C258" s="3">
        <v>3000</v>
      </c>
      <c r="D258" s="10" t="s">
        <v>180</v>
      </c>
      <c r="E258" s="6">
        <v>435500</v>
      </c>
      <c r="F258" s="6">
        <v>453071.82</v>
      </c>
      <c r="G258" s="6">
        <v>38650.269999999997</v>
      </c>
      <c r="H258" s="3">
        <v>3700</v>
      </c>
      <c r="I258" s="10" t="s">
        <v>180</v>
      </c>
      <c r="J258" s="6">
        <v>435500</v>
      </c>
      <c r="K258" s="6">
        <v>453071.82</v>
      </c>
      <c r="L258" s="6">
        <v>38650.269999999997</v>
      </c>
      <c r="M258" s="19">
        <v>251</v>
      </c>
      <c r="N258" s="7" t="s">
        <v>238</v>
      </c>
      <c r="O258" s="20" t="s">
        <v>245</v>
      </c>
      <c r="P258" s="20" t="s">
        <v>245</v>
      </c>
      <c r="Q258" s="20" t="s">
        <v>245</v>
      </c>
      <c r="R258" s="21">
        <v>42561</v>
      </c>
      <c r="S258" s="22" t="s">
        <v>246</v>
      </c>
      <c r="T258" s="22">
        <v>2016</v>
      </c>
      <c r="U258" s="21">
        <v>42551</v>
      </c>
      <c r="V258" s="22"/>
    </row>
    <row r="259" spans="1:22" ht="19.5" customHeight="1" x14ac:dyDescent="0.3">
      <c r="A259" s="3">
        <v>2016</v>
      </c>
      <c r="B259" s="4">
        <v>42461</v>
      </c>
      <c r="C259" s="3">
        <v>3000</v>
      </c>
      <c r="D259" s="7" t="s">
        <v>181</v>
      </c>
      <c r="E259" s="6">
        <v>30000</v>
      </c>
      <c r="F259" s="6">
        <v>30000</v>
      </c>
      <c r="G259" s="6">
        <v>0</v>
      </c>
      <c r="H259" s="3">
        <v>3700</v>
      </c>
      <c r="I259" s="7" t="s">
        <v>181</v>
      </c>
      <c r="J259" s="6">
        <v>30000</v>
      </c>
      <c r="K259" s="6">
        <v>30000</v>
      </c>
      <c r="L259" s="6">
        <v>0</v>
      </c>
      <c r="M259" s="23">
        <v>252</v>
      </c>
      <c r="N259" s="7" t="s">
        <v>238</v>
      </c>
      <c r="O259" s="20" t="s">
        <v>245</v>
      </c>
      <c r="P259" s="20" t="s">
        <v>245</v>
      </c>
      <c r="Q259" s="20" t="s">
        <v>245</v>
      </c>
      <c r="R259" s="21">
        <v>42561</v>
      </c>
      <c r="S259" s="22" t="s">
        <v>246</v>
      </c>
      <c r="T259" s="22">
        <v>2016</v>
      </c>
      <c r="U259" s="21">
        <v>42551</v>
      </c>
      <c r="V259" s="22"/>
    </row>
    <row r="260" spans="1:22" ht="19.5" customHeight="1" x14ac:dyDescent="0.3">
      <c r="A260" s="3">
        <v>2016</v>
      </c>
      <c r="B260" s="4">
        <v>42461</v>
      </c>
      <c r="C260" s="3">
        <v>3000</v>
      </c>
      <c r="D260" s="7" t="s">
        <v>182</v>
      </c>
      <c r="E260" s="6">
        <v>4000</v>
      </c>
      <c r="F260" s="6">
        <v>0</v>
      </c>
      <c r="G260" s="6">
        <v>0</v>
      </c>
      <c r="H260" s="3">
        <v>3700</v>
      </c>
      <c r="I260" s="7" t="s">
        <v>182</v>
      </c>
      <c r="J260" s="6">
        <v>4000</v>
      </c>
      <c r="K260" s="6">
        <v>0</v>
      </c>
      <c r="L260" s="6">
        <v>0</v>
      </c>
      <c r="M260" s="19">
        <v>253</v>
      </c>
      <c r="N260" s="7" t="s">
        <v>238</v>
      </c>
      <c r="O260" s="20" t="s">
        <v>245</v>
      </c>
      <c r="P260" s="20" t="s">
        <v>245</v>
      </c>
      <c r="Q260" s="20" t="s">
        <v>245</v>
      </c>
      <c r="R260" s="21">
        <v>42561</v>
      </c>
      <c r="S260" s="22" t="s">
        <v>246</v>
      </c>
      <c r="T260" s="22">
        <v>2016</v>
      </c>
      <c r="U260" s="21">
        <v>42551</v>
      </c>
      <c r="V260" s="22"/>
    </row>
    <row r="261" spans="1:22" ht="19.5" customHeight="1" x14ac:dyDescent="0.3">
      <c r="A261" s="3">
        <v>2016</v>
      </c>
      <c r="B261" s="4">
        <v>42461</v>
      </c>
      <c r="C261" s="3">
        <v>3000</v>
      </c>
      <c r="D261" s="10" t="s">
        <v>183</v>
      </c>
      <c r="E261" s="6">
        <v>4101228</v>
      </c>
      <c r="F261" s="6">
        <v>4364667.96</v>
      </c>
      <c r="G261" s="6">
        <v>679629.53</v>
      </c>
      <c r="H261" s="3">
        <v>3800</v>
      </c>
      <c r="I261" s="10" t="s">
        <v>183</v>
      </c>
      <c r="J261" s="6">
        <v>4101228</v>
      </c>
      <c r="K261" s="6">
        <v>4364667.96</v>
      </c>
      <c r="L261" s="6">
        <v>679629.53</v>
      </c>
      <c r="M261" s="23">
        <v>254</v>
      </c>
      <c r="N261" s="7" t="s">
        <v>238</v>
      </c>
      <c r="O261" s="20" t="s">
        <v>245</v>
      </c>
      <c r="P261" s="20" t="s">
        <v>245</v>
      </c>
      <c r="Q261" s="20" t="s">
        <v>245</v>
      </c>
      <c r="R261" s="21">
        <v>42561</v>
      </c>
      <c r="S261" s="22" t="s">
        <v>246</v>
      </c>
      <c r="T261" s="22">
        <v>2016</v>
      </c>
      <c r="U261" s="21">
        <v>42551</v>
      </c>
      <c r="V261" s="22"/>
    </row>
    <row r="262" spans="1:22" ht="19.5" customHeight="1" x14ac:dyDescent="0.3">
      <c r="A262" s="3">
        <v>2016</v>
      </c>
      <c r="B262" s="4">
        <v>42461</v>
      </c>
      <c r="C262" s="3">
        <v>3000</v>
      </c>
      <c r="D262" s="10" t="s">
        <v>184</v>
      </c>
      <c r="E262" s="6">
        <v>617333</v>
      </c>
      <c r="F262" s="6">
        <v>807479.56</v>
      </c>
      <c r="G262" s="6">
        <v>287167.33</v>
      </c>
      <c r="H262" s="3">
        <v>3800</v>
      </c>
      <c r="I262" s="10" t="s">
        <v>184</v>
      </c>
      <c r="J262" s="6">
        <v>617333</v>
      </c>
      <c r="K262" s="6">
        <v>807479.56</v>
      </c>
      <c r="L262" s="6">
        <v>287167.33</v>
      </c>
      <c r="M262" s="19">
        <v>255</v>
      </c>
      <c r="N262" s="7" t="s">
        <v>238</v>
      </c>
      <c r="O262" s="20" t="s">
        <v>245</v>
      </c>
      <c r="P262" s="20" t="s">
        <v>245</v>
      </c>
      <c r="Q262" s="20" t="s">
        <v>245</v>
      </c>
      <c r="R262" s="21">
        <v>42561</v>
      </c>
      <c r="S262" s="22" t="s">
        <v>246</v>
      </c>
      <c r="T262" s="22">
        <v>2016</v>
      </c>
      <c r="U262" s="21">
        <v>42551</v>
      </c>
      <c r="V262" s="22"/>
    </row>
    <row r="263" spans="1:22" ht="19.5" customHeight="1" x14ac:dyDescent="0.3">
      <c r="A263" s="3">
        <v>2016</v>
      </c>
      <c r="B263" s="4">
        <v>42461</v>
      </c>
      <c r="C263" s="3">
        <v>3000</v>
      </c>
      <c r="D263" s="10" t="s">
        <v>185</v>
      </c>
      <c r="E263" s="6">
        <v>1860850.1</v>
      </c>
      <c r="F263" s="6">
        <v>1830986.92</v>
      </c>
      <c r="G263" s="6">
        <v>9031.27</v>
      </c>
      <c r="H263" s="3">
        <v>3800</v>
      </c>
      <c r="I263" s="10" t="s">
        <v>185</v>
      </c>
      <c r="J263" s="6">
        <v>1860850.1</v>
      </c>
      <c r="K263" s="6">
        <v>1830986.92</v>
      </c>
      <c r="L263" s="6">
        <v>9031.27</v>
      </c>
      <c r="M263" s="23">
        <v>256</v>
      </c>
      <c r="N263" s="7" t="s">
        <v>238</v>
      </c>
      <c r="O263" s="20" t="s">
        <v>245</v>
      </c>
      <c r="P263" s="20" t="s">
        <v>245</v>
      </c>
      <c r="Q263" s="20" t="s">
        <v>245</v>
      </c>
      <c r="R263" s="21">
        <v>42561</v>
      </c>
      <c r="S263" s="22" t="s">
        <v>246</v>
      </c>
      <c r="T263" s="22">
        <v>2016</v>
      </c>
      <c r="U263" s="21">
        <v>42551</v>
      </c>
      <c r="V263" s="22"/>
    </row>
    <row r="264" spans="1:22" ht="19.5" customHeight="1" x14ac:dyDescent="0.3">
      <c r="A264" s="3">
        <v>2016</v>
      </c>
      <c r="B264" s="4">
        <v>42461</v>
      </c>
      <c r="C264" s="3">
        <v>3000</v>
      </c>
      <c r="D264" s="7" t="s">
        <v>186</v>
      </c>
      <c r="E264" s="6">
        <v>387031.95</v>
      </c>
      <c r="F264" s="6">
        <v>399031.95</v>
      </c>
      <c r="G264" s="6">
        <v>101029.88</v>
      </c>
      <c r="H264" s="3">
        <v>3900</v>
      </c>
      <c r="I264" s="7" t="s">
        <v>186</v>
      </c>
      <c r="J264" s="6">
        <v>387031.95</v>
      </c>
      <c r="K264" s="6">
        <v>399031.95</v>
      </c>
      <c r="L264" s="6">
        <v>101029.88</v>
      </c>
      <c r="M264" s="19">
        <v>257</v>
      </c>
      <c r="N264" s="7" t="s">
        <v>238</v>
      </c>
      <c r="O264" s="20" t="s">
        <v>245</v>
      </c>
      <c r="P264" s="20" t="s">
        <v>245</v>
      </c>
      <c r="Q264" s="20" t="s">
        <v>245</v>
      </c>
      <c r="R264" s="21">
        <v>42561</v>
      </c>
      <c r="S264" s="22" t="s">
        <v>246</v>
      </c>
      <c r="T264" s="22">
        <v>2016</v>
      </c>
      <c r="U264" s="21">
        <v>42551</v>
      </c>
      <c r="V264" s="22"/>
    </row>
    <row r="265" spans="1:22" ht="19.5" customHeight="1" x14ac:dyDescent="0.3">
      <c r="A265" s="3">
        <v>2016</v>
      </c>
      <c r="B265" s="4">
        <v>42461</v>
      </c>
      <c r="C265" s="3">
        <v>3000</v>
      </c>
      <c r="D265" s="7" t="s">
        <v>187</v>
      </c>
      <c r="E265" s="6">
        <v>0</v>
      </c>
      <c r="F265" s="6">
        <v>250000</v>
      </c>
      <c r="G265" s="6">
        <v>0</v>
      </c>
      <c r="H265" s="3">
        <v>3900</v>
      </c>
      <c r="I265" s="7" t="s">
        <v>187</v>
      </c>
      <c r="J265" s="6">
        <v>0</v>
      </c>
      <c r="K265" s="6">
        <v>250000</v>
      </c>
      <c r="L265" s="6">
        <v>0</v>
      </c>
      <c r="M265" s="23">
        <v>258</v>
      </c>
      <c r="N265" s="7" t="s">
        <v>238</v>
      </c>
      <c r="O265" s="20" t="s">
        <v>245</v>
      </c>
      <c r="P265" s="20" t="s">
        <v>245</v>
      </c>
      <c r="Q265" s="20" t="s">
        <v>245</v>
      </c>
      <c r="R265" s="21">
        <v>42561</v>
      </c>
      <c r="S265" s="22" t="s">
        <v>246</v>
      </c>
      <c r="T265" s="22">
        <v>2016</v>
      </c>
      <c r="U265" s="21">
        <v>42551</v>
      </c>
      <c r="V265" s="22"/>
    </row>
    <row r="266" spans="1:22" ht="19.5" customHeight="1" x14ac:dyDescent="0.3">
      <c r="A266" s="3">
        <v>2016</v>
      </c>
      <c r="B266" s="4">
        <v>42461</v>
      </c>
      <c r="C266" s="3">
        <v>3000</v>
      </c>
      <c r="D266" s="7" t="s">
        <v>188</v>
      </c>
      <c r="E266" s="6">
        <v>26790709.48</v>
      </c>
      <c r="F266" s="6">
        <v>27455886.48</v>
      </c>
      <c r="G266" s="6">
        <v>11768131</v>
      </c>
      <c r="H266" s="3">
        <v>3900</v>
      </c>
      <c r="I266" s="7" t="s">
        <v>188</v>
      </c>
      <c r="J266" s="6">
        <v>26790709.48</v>
      </c>
      <c r="K266" s="6">
        <v>27455886.48</v>
      </c>
      <c r="L266" s="6">
        <v>11768131</v>
      </c>
      <c r="M266" s="19">
        <v>259</v>
      </c>
      <c r="N266" s="7" t="s">
        <v>238</v>
      </c>
      <c r="O266" s="20" t="s">
        <v>245</v>
      </c>
      <c r="P266" s="20" t="s">
        <v>245</v>
      </c>
      <c r="Q266" s="20" t="s">
        <v>245</v>
      </c>
      <c r="R266" s="21">
        <v>42561</v>
      </c>
      <c r="S266" s="22" t="s">
        <v>246</v>
      </c>
      <c r="T266" s="22">
        <v>2016</v>
      </c>
      <c r="U266" s="21">
        <v>42551</v>
      </c>
      <c r="V266" s="22"/>
    </row>
    <row r="267" spans="1:22" ht="19.5" customHeight="1" x14ac:dyDescent="0.3">
      <c r="A267" s="3">
        <v>2016</v>
      </c>
      <c r="B267" s="4">
        <v>42461</v>
      </c>
      <c r="C267" s="3">
        <v>4000</v>
      </c>
      <c r="D267" s="7" t="s">
        <v>189</v>
      </c>
      <c r="E267" s="6">
        <v>11400</v>
      </c>
      <c r="F267" s="6">
        <v>11400</v>
      </c>
      <c r="G267" s="6">
        <v>0</v>
      </c>
      <c r="H267" s="3">
        <v>4100</v>
      </c>
      <c r="I267" s="7" t="s">
        <v>189</v>
      </c>
      <c r="J267" s="6">
        <v>11400</v>
      </c>
      <c r="K267" s="6">
        <v>11400</v>
      </c>
      <c r="L267" s="6">
        <v>0</v>
      </c>
      <c r="M267" s="23">
        <v>260</v>
      </c>
      <c r="N267" s="7" t="s">
        <v>239</v>
      </c>
      <c r="O267" s="20" t="s">
        <v>245</v>
      </c>
      <c r="P267" s="20" t="s">
        <v>245</v>
      </c>
      <c r="Q267" s="20" t="s">
        <v>245</v>
      </c>
      <c r="R267" s="21">
        <v>42561</v>
      </c>
      <c r="S267" s="22" t="s">
        <v>246</v>
      </c>
      <c r="T267" s="22">
        <v>2016</v>
      </c>
      <c r="U267" s="21">
        <v>42551</v>
      </c>
      <c r="V267" s="22"/>
    </row>
    <row r="268" spans="1:22" ht="19.5" customHeight="1" x14ac:dyDescent="0.3">
      <c r="A268" s="3">
        <v>2016</v>
      </c>
      <c r="B268" s="4">
        <v>42461</v>
      </c>
      <c r="C268" s="3">
        <v>4000</v>
      </c>
      <c r="D268" s="10" t="s">
        <v>190</v>
      </c>
      <c r="E268" s="6">
        <v>6500</v>
      </c>
      <c r="F268" s="6">
        <v>24473</v>
      </c>
      <c r="G268" s="6">
        <v>0</v>
      </c>
      <c r="H268" s="3">
        <v>440</v>
      </c>
      <c r="I268" s="10" t="s">
        <v>190</v>
      </c>
      <c r="J268" s="6">
        <v>6500</v>
      </c>
      <c r="K268" s="6">
        <v>24473</v>
      </c>
      <c r="L268" s="6">
        <v>0</v>
      </c>
      <c r="M268" s="19">
        <v>261</v>
      </c>
      <c r="N268" s="7" t="s">
        <v>239</v>
      </c>
      <c r="O268" s="20" t="s">
        <v>245</v>
      </c>
      <c r="P268" s="20" t="s">
        <v>245</v>
      </c>
      <c r="Q268" s="20" t="s">
        <v>245</v>
      </c>
      <c r="R268" s="21">
        <v>42561</v>
      </c>
      <c r="S268" s="22" t="s">
        <v>246</v>
      </c>
      <c r="T268" s="22">
        <v>2016</v>
      </c>
      <c r="U268" s="21">
        <v>42551</v>
      </c>
      <c r="V268" s="22"/>
    </row>
    <row r="269" spans="1:22" ht="19.5" customHeight="1" x14ac:dyDescent="0.3">
      <c r="A269" s="3">
        <v>2016</v>
      </c>
      <c r="B269" s="4">
        <v>42461</v>
      </c>
      <c r="C269" s="3">
        <v>4000</v>
      </c>
      <c r="D269" s="10" t="s">
        <v>191</v>
      </c>
      <c r="E269" s="6">
        <v>0</v>
      </c>
      <c r="F269" s="6">
        <v>25760</v>
      </c>
      <c r="G269" s="6">
        <v>25760</v>
      </c>
      <c r="H269" s="3">
        <v>4400</v>
      </c>
      <c r="I269" s="10" t="s">
        <v>191</v>
      </c>
      <c r="J269" s="6">
        <v>0</v>
      </c>
      <c r="K269" s="6">
        <v>25760</v>
      </c>
      <c r="L269" s="6">
        <v>25760</v>
      </c>
      <c r="M269" s="23">
        <v>262</v>
      </c>
      <c r="N269" s="7" t="s">
        <v>239</v>
      </c>
      <c r="O269" s="20" t="s">
        <v>245</v>
      </c>
      <c r="P269" s="20" t="s">
        <v>245</v>
      </c>
      <c r="Q269" s="20" t="s">
        <v>245</v>
      </c>
      <c r="R269" s="21">
        <v>42561</v>
      </c>
      <c r="S269" s="22" t="s">
        <v>246</v>
      </c>
      <c r="T269" s="22">
        <v>2016</v>
      </c>
      <c r="U269" s="21">
        <v>42551</v>
      </c>
      <c r="V269" s="22"/>
    </row>
    <row r="270" spans="1:22" ht="19.5" customHeight="1" x14ac:dyDescent="0.3">
      <c r="A270" s="3">
        <v>2016</v>
      </c>
      <c r="B270" s="4">
        <v>42461</v>
      </c>
      <c r="C270" s="3">
        <v>4000</v>
      </c>
      <c r="D270" s="10" t="s">
        <v>192</v>
      </c>
      <c r="E270" s="6">
        <v>22849000</v>
      </c>
      <c r="F270" s="6">
        <v>41919592.990000002</v>
      </c>
      <c r="G270" s="6">
        <v>17219494.399999999</v>
      </c>
      <c r="H270" s="3">
        <v>4400</v>
      </c>
      <c r="I270" s="10" t="s">
        <v>192</v>
      </c>
      <c r="J270" s="6">
        <v>22849000</v>
      </c>
      <c r="K270" s="6">
        <v>41919592.990000002</v>
      </c>
      <c r="L270" s="6">
        <v>17219494.399999999</v>
      </c>
      <c r="M270" s="19">
        <v>263</v>
      </c>
      <c r="N270" s="7" t="s">
        <v>239</v>
      </c>
      <c r="O270" s="20" t="s">
        <v>245</v>
      </c>
      <c r="P270" s="20" t="s">
        <v>245</v>
      </c>
      <c r="Q270" s="20" t="s">
        <v>245</v>
      </c>
      <c r="R270" s="21">
        <v>42561</v>
      </c>
      <c r="S270" s="22" t="s">
        <v>246</v>
      </c>
      <c r="T270" s="22">
        <v>2016</v>
      </c>
      <c r="U270" s="21">
        <v>42551</v>
      </c>
      <c r="V270" s="22"/>
    </row>
    <row r="271" spans="1:22" ht="19.5" customHeight="1" x14ac:dyDescent="0.3">
      <c r="A271" s="3">
        <v>2016</v>
      </c>
      <c r="B271" s="4">
        <v>42461</v>
      </c>
      <c r="C271" s="3">
        <v>4000</v>
      </c>
      <c r="D271" s="10" t="s">
        <v>193</v>
      </c>
      <c r="E271" s="6">
        <v>700000</v>
      </c>
      <c r="F271" s="6">
        <v>1248667.58</v>
      </c>
      <c r="G271" s="6">
        <v>431413.42</v>
      </c>
      <c r="H271" s="3">
        <v>4400</v>
      </c>
      <c r="I271" s="10" t="s">
        <v>193</v>
      </c>
      <c r="J271" s="6">
        <v>700000</v>
      </c>
      <c r="K271" s="6">
        <v>1248667.58</v>
      </c>
      <c r="L271" s="6">
        <v>431413.42</v>
      </c>
      <c r="M271" s="23">
        <v>264</v>
      </c>
      <c r="N271" s="7" t="s">
        <v>239</v>
      </c>
      <c r="O271" s="20" t="s">
        <v>245</v>
      </c>
      <c r="P271" s="20" t="s">
        <v>245</v>
      </c>
      <c r="Q271" s="20" t="s">
        <v>245</v>
      </c>
      <c r="R271" s="21">
        <v>42561</v>
      </c>
      <c r="S271" s="22" t="s">
        <v>246</v>
      </c>
      <c r="T271" s="22">
        <v>2016</v>
      </c>
      <c r="U271" s="21">
        <v>42551</v>
      </c>
      <c r="V271" s="22"/>
    </row>
    <row r="272" spans="1:22" ht="19.5" customHeight="1" x14ac:dyDescent="0.3">
      <c r="A272" s="3">
        <v>2016</v>
      </c>
      <c r="B272" s="4">
        <v>42461</v>
      </c>
      <c r="C272" s="3">
        <v>5000</v>
      </c>
      <c r="D272" s="10" t="s">
        <v>194</v>
      </c>
      <c r="E272" s="6">
        <v>1198197.3</v>
      </c>
      <c r="F272" s="6">
        <v>2254317.42</v>
      </c>
      <c r="G272" s="6">
        <v>436171.86</v>
      </c>
      <c r="H272" s="3">
        <v>5100</v>
      </c>
      <c r="I272" s="10" t="s">
        <v>194</v>
      </c>
      <c r="J272" s="6">
        <v>1198197.3</v>
      </c>
      <c r="K272" s="6">
        <v>2254317.42</v>
      </c>
      <c r="L272" s="6">
        <v>436171.86</v>
      </c>
      <c r="M272" s="19">
        <v>265</v>
      </c>
      <c r="N272" s="7" t="s">
        <v>240</v>
      </c>
      <c r="O272" s="20" t="s">
        <v>245</v>
      </c>
      <c r="P272" s="20" t="s">
        <v>245</v>
      </c>
      <c r="Q272" s="20" t="s">
        <v>245</v>
      </c>
      <c r="R272" s="21">
        <v>42561</v>
      </c>
      <c r="S272" s="22" t="s">
        <v>246</v>
      </c>
      <c r="T272" s="22">
        <v>2016</v>
      </c>
      <c r="U272" s="21">
        <v>42551</v>
      </c>
      <c r="V272" s="22"/>
    </row>
    <row r="273" spans="1:22" ht="19.5" customHeight="1" x14ac:dyDescent="0.3">
      <c r="A273" s="3">
        <v>2016</v>
      </c>
      <c r="B273" s="4">
        <v>42461</v>
      </c>
      <c r="C273" s="3">
        <v>5000</v>
      </c>
      <c r="D273" s="10" t="s">
        <v>195</v>
      </c>
      <c r="E273" s="6">
        <v>0</v>
      </c>
      <c r="F273" s="6">
        <v>169686.81</v>
      </c>
      <c r="G273" s="6">
        <v>155062.69</v>
      </c>
      <c r="H273" s="3">
        <v>5100</v>
      </c>
      <c r="I273" s="10" t="s">
        <v>195</v>
      </c>
      <c r="J273" s="6">
        <v>0</v>
      </c>
      <c r="K273" s="6">
        <v>169686.81</v>
      </c>
      <c r="L273" s="6">
        <v>155062.69</v>
      </c>
      <c r="M273" s="23">
        <v>266</v>
      </c>
      <c r="N273" s="7" t="s">
        <v>240</v>
      </c>
      <c r="O273" s="20" t="s">
        <v>245</v>
      </c>
      <c r="P273" s="20" t="s">
        <v>245</v>
      </c>
      <c r="Q273" s="20" t="s">
        <v>245</v>
      </c>
      <c r="R273" s="21">
        <v>42561</v>
      </c>
      <c r="S273" s="22" t="s">
        <v>246</v>
      </c>
      <c r="T273" s="22">
        <v>2016</v>
      </c>
      <c r="U273" s="21">
        <v>42551</v>
      </c>
      <c r="V273" s="22"/>
    </row>
    <row r="274" spans="1:22" ht="19.5" customHeight="1" x14ac:dyDescent="0.3">
      <c r="A274" s="3">
        <v>2016</v>
      </c>
      <c r="B274" s="4">
        <v>42461</v>
      </c>
      <c r="C274" s="3">
        <v>5000</v>
      </c>
      <c r="D274" s="10" t="s">
        <v>196</v>
      </c>
      <c r="E274" s="6">
        <v>1532447</v>
      </c>
      <c r="F274" s="6">
        <v>9856995.1999999993</v>
      </c>
      <c r="G274" s="6">
        <v>3666006.26</v>
      </c>
      <c r="H274" s="3">
        <v>5100</v>
      </c>
      <c r="I274" s="10" t="s">
        <v>196</v>
      </c>
      <c r="J274" s="6">
        <v>1532447</v>
      </c>
      <c r="K274" s="6">
        <v>9856995.1999999993</v>
      </c>
      <c r="L274" s="6">
        <v>3666006.26</v>
      </c>
      <c r="M274" s="19">
        <v>267</v>
      </c>
      <c r="N274" s="7" t="s">
        <v>240</v>
      </c>
      <c r="O274" s="20" t="s">
        <v>245</v>
      </c>
      <c r="P274" s="20" t="s">
        <v>245</v>
      </c>
      <c r="Q274" s="20" t="s">
        <v>245</v>
      </c>
      <c r="R274" s="21">
        <v>42561</v>
      </c>
      <c r="S274" s="22" t="s">
        <v>246</v>
      </c>
      <c r="T274" s="22">
        <v>2016</v>
      </c>
      <c r="U274" s="21">
        <v>42551</v>
      </c>
      <c r="V274" s="22"/>
    </row>
    <row r="275" spans="1:22" ht="19.5" customHeight="1" x14ac:dyDescent="0.3">
      <c r="A275" s="3">
        <v>2016</v>
      </c>
      <c r="B275" s="4">
        <v>42461</v>
      </c>
      <c r="C275" s="3">
        <v>5000</v>
      </c>
      <c r="D275" s="10" t="s">
        <v>197</v>
      </c>
      <c r="E275" s="6">
        <v>72517.5</v>
      </c>
      <c r="F275" s="6">
        <v>294867.24</v>
      </c>
      <c r="G275" s="6">
        <v>25578</v>
      </c>
      <c r="H275" s="3">
        <v>5100</v>
      </c>
      <c r="I275" s="10" t="s">
        <v>197</v>
      </c>
      <c r="J275" s="6">
        <v>72517.5</v>
      </c>
      <c r="K275" s="6">
        <v>294867.24</v>
      </c>
      <c r="L275" s="6">
        <v>25578</v>
      </c>
      <c r="M275" s="23">
        <v>268</v>
      </c>
      <c r="N275" s="7" t="s">
        <v>240</v>
      </c>
      <c r="O275" s="20" t="s">
        <v>245</v>
      </c>
      <c r="P275" s="20" t="s">
        <v>245</v>
      </c>
      <c r="Q275" s="20" t="s">
        <v>245</v>
      </c>
      <c r="R275" s="21">
        <v>42561</v>
      </c>
      <c r="S275" s="22" t="s">
        <v>246</v>
      </c>
      <c r="T275" s="22">
        <v>2016</v>
      </c>
      <c r="U275" s="21">
        <v>42551</v>
      </c>
      <c r="V275" s="22"/>
    </row>
    <row r="276" spans="1:22" ht="19.5" customHeight="1" x14ac:dyDescent="0.3">
      <c r="A276" s="3">
        <v>2016</v>
      </c>
      <c r="B276" s="4">
        <v>42461</v>
      </c>
      <c r="C276" s="3">
        <v>5000</v>
      </c>
      <c r="D276" s="10" t="s">
        <v>198</v>
      </c>
      <c r="E276" s="6">
        <v>466291.83</v>
      </c>
      <c r="F276" s="6">
        <v>2071686.71</v>
      </c>
      <c r="G276" s="6">
        <v>186802.83</v>
      </c>
      <c r="H276" s="3">
        <v>5200</v>
      </c>
      <c r="I276" s="10" t="s">
        <v>198</v>
      </c>
      <c r="J276" s="6">
        <v>466291.83</v>
      </c>
      <c r="K276" s="6">
        <v>2071686.71</v>
      </c>
      <c r="L276" s="6">
        <v>186802.83</v>
      </c>
      <c r="M276" s="19">
        <v>269</v>
      </c>
      <c r="N276" s="7" t="s">
        <v>240</v>
      </c>
      <c r="O276" s="20" t="s">
        <v>245</v>
      </c>
      <c r="P276" s="20" t="s">
        <v>245</v>
      </c>
      <c r="Q276" s="20" t="s">
        <v>245</v>
      </c>
      <c r="R276" s="21">
        <v>42561</v>
      </c>
      <c r="S276" s="22" t="s">
        <v>246</v>
      </c>
      <c r="T276" s="22">
        <v>2016</v>
      </c>
      <c r="U276" s="21">
        <v>42551</v>
      </c>
      <c r="V276" s="22"/>
    </row>
    <row r="277" spans="1:22" ht="19.5" customHeight="1" x14ac:dyDescent="0.3">
      <c r="A277" s="3">
        <v>2016</v>
      </c>
      <c r="B277" s="4">
        <v>42461</v>
      </c>
      <c r="C277" s="3">
        <v>5000</v>
      </c>
      <c r="D277" s="10" t="s">
        <v>199</v>
      </c>
      <c r="E277" s="6">
        <v>257289.1</v>
      </c>
      <c r="F277" s="6">
        <v>1533393.62</v>
      </c>
      <c r="G277" s="6">
        <v>98706.72</v>
      </c>
      <c r="H277" s="3">
        <v>5200</v>
      </c>
      <c r="I277" s="10" t="s">
        <v>199</v>
      </c>
      <c r="J277" s="6">
        <v>257289.1</v>
      </c>
      <c r="K277" s="6">
        <v>1533393.62</v>
      </c>
      <c r="L277" s="6">
        <v>98706.72</v>
      </c>
      <c r="M277" s="23">
        <v>270</v>
      </c>
      <c r="N277" s="7" t="s">
        <v>240</v>
      </c>
      <c r="O277" s="20" t="s">
        <v>245</v>
      </c>
      <c r="P277" s="20" t="s">
        <v>245</v>
      </c>
      <c r="Q277" s="20" t="s">
        <v>245</v>
      </c>
      <c r="R277" s="21">
        <v>42561</v>
      </c>
      <c r="S277" s="22" t="s">
        <v>246</v>
      </c>
      <c r="T277" s="22">
        <v>2016</v>
      </c>
      <c r="U277" s="21">
        <v>42551</v>
      </c>
      <c r="V277" s="22"/>
    </row>
    <row r="278" spans="1:22" ht="19.5" customHeight="1" x14ac:dyDescent="0.3">
      <c r="A278" s="3">
        <v>2016</v>
      </c>
      <c r="B278" s="4">
        <v>42461</v>
      </c>
      <c r="C278" s="3">
        <v>5000</v>
      </c>
      <c r="D278" s="10" t="s">
        <v>200</v>
      </c>
      <c r="E278" s="6">
        <v>10338</v>
      </c>
      <c r="F278" s="6">
        <v>76458</v>
      </c>
      <c r="G278" s="6">
        <v>66120</v>
      </c>
      <c r="H278" s="3">
        <v>5200</v>
      </c>
      <c r="I278" s="10" t="s">
        <v>200</v>
      </c>
      <c r="J278" s="6">
        <v>10338</v>
      </c>
      <c r="K278" s="6">
        <v>76458</v>
      </c>
      <c r="L278" s="6">
        <v>66120</v>
      </c>
      <c r="M278" s="19">
        <v>271</v>
      </c>
      <c r="N278" s="7" t="s">
        <v>240</v>
      </c>
      <c r="O278" s="20" t="s">
        <v>245</v>
      </c>
      <c r="P278" s="20" t="s">
        <v>245</v>
      </c>
      <c r="Q278" s="20" t="s">
        <v>245</v>
      </c>
      <c r="R278" s="21">
        <v>42561</v>
      </c>
      <c r="S278" s="22" t="s">
        <v>246</v>
      </c>
      <c r="T278" s="22">
        <v>2016</v>
      </c>
      <c r="U278" s="21">
        <v>42551</v>
      </c>
      <c r="V278" s="22"/>
    </row>
    <row r="279" spans="1:22" ht="19.5" customHeight="1" x14ac:dyDescent="0.3">
      <c r="A279" s="3">
        <v>2016</v>
      </c>
      <c r="B279" s="4">
        <v>42461</v>
      </c>
      <c r="C279" s="3">
        <v>5000</v>
      </c>
      <c r="D279" s="10" t="s">
        <v>201</v>
      </c>
      <c r="E279" s="6">
        <v>304598.76</v>
      </c>
      <c r="F279" s="6">
        <v>909848.62</v>
      </c>
      <c r="G279" s="6">
        <v>82379.45</v>
      </c>
      <c r="H279" s="3">
        <v>5300</v>
      </c>
      <c r="I279" s="10" t="s">
        <v>201</v>
      </c>
      <c r="J279" s="6">
        <v>304598.76</v>
      </c>
      <c r="K279" s="6">
        <v>909848.62</v>
      </c>
      <c r="L279" s="6">
        <v>82379.45</v>
      </c>
      <c r="M279" s="23">
        <v>272</v>
      </c>
      <c r="N279" s="7" t="s">
        <v>240</v>
      </c>
      <c r="O279" s="20" t="s">
        <v>245</v>
      </c>
      <c r="P279" s="20" t="s">
        <v>245</v>
      </c>
      <c r="Q279" s="20" t="s">
        <v>245</v>
      </c>
      <c r="R279" s="21">
        <v>42561</v>
      </c>
      <c r="S279" s="22" t="s">
        <v>246</v>
      </c>
      <c r="T279" s="22">
        <v>2016</v>
      </c>
      <c r="U279" s="21">
        <v>42551</v>
      </c>
      <c r="V279" s="22"/>
    </row>
    <row r="280" spans="1:22" ht="19.5" customHeight="1" x14ac:dyDescent="0.3">
      <c r="A280" s="3">
        <v>2016</v>
      </c>
      <c r="B280" s="4">
        <v>42461</v>
      </c>
      <c r="C280" s="3">
        <v>5000</v>
      </c>
      <c r="D280" s="10" t="s">
        <v>202</v>
      </c>
      <c r="E280" s="6">
        <v>1316685.83</v>
      </c>
      <c r="F280" s="6">
        <v>1369222.3</v>
      </c>
      <c r="G280" s="6">
        <v>2818.8</v>
      </c>
      <c r="H280" s="3">
        <v>5300</v>
      </c>
      <c r="I280" s="10" t="s">
        <v>202</v>
      </c>
      <c r="J280" s="6">
        <v>1316685.83</v>
      </c>
      <c r="K280" s="6">
        <v>1369222.3</v>
      </c>
      <c r="L280" s="6">
        <v>2818.8</v>
      </c>
      <c r="M280" s="19">
        <v>273</v>
      </c>
      <c r="N280" s="7" t="s">
        <v>240</v>
      </c>
      <c r="O280" s="20" t="s">
        <v>245</v>
      </c>
      <c r="P280" s="20" t="s">
        <v>245</v>
      </c>
      <c r="Q280" s="20" t="s">
        <v>245</v>
      </c>
      <c r="R280" s="21">
        <v>42561</v>
      </c>
      <c r="S280" s="22" t="s">
        <v>246</v>
      </c>
      <c r="T280" s="22">
        <v>2016</v>
      </c>
      <c r="U280" s="21">
        <v>42551</v>
      </c>
      <c r="V280" s="22"/>
    </row>
    <row r="281" spans="1:22" ht="19.5" customHeight="1" x14ac:dyDescent="0.3">
      <c r="A281" s="3">
        <v>2016</v>
      </c>
      <c r="B281" s="4">
        <v>42461</v>
      </c>
      <c r="C281" s="3">
        <v>5000</v>
      </c>
      <c r="D281" s="7" t="s">
        <v>203</v>
      </c>
      <c r="E281" s="6">
        <v>0</v>
      </c>
      <c r="F281" s="6">
        <v>400000</v>
      </c>
      <c r="G281" s="6">
        <v>0</v>
      </c>
      <c r="H281" s="3">
        <v>5400</v>
      </c>
      <c r="I281" s="7" t="s">
        <v>203</v>
      </c>
      <c r="J281" s="6">
        <v>0</v>
      </c>
      <c r="K281" s="6">
        <v>400000</v>
      </c>
      <c r="L281" s="6">
        <v>0</v>
      </c>
      <c r="M281" s="23">
        <v>274</v>
      </c>
      <c r="N281" s="7" t="s">
        <v>240</v>
      </c>
      <c r="O281" s="20" t="s">
        <v>245</v>
      </c>
      <c r="P281" s="20" t="s">
        <v>245</v>
      </c>
      <c r="Q281" s="20" t="s">
        <v>245</v>
      </c>
      <c r="R281" s="21">
        <v>42561</v>
      </c>
      <c r="S281" s="22" t="s">
        <v>246</v>
      </c>
      <c r="T281" s="22">
        <v>2016</v>
      </c>
      <c r="U281" s="21">
        <v>42551</v>
      </c>
      <c r="V281" s="22"/>
    </row>
    <row r="282" spans="1:22" ht="19.5" customHeight="1" x14ac:dyDescent="0.3">
      <c r="A282" s="3">
        <v>2016</v>
      </c>
      <c r="B282" s="4">
        <v>42461</v>
      </c>
      <c r="C282" s="3">
        <v>5000</v>
      </c>
      <c r="D282" s="7" t="s">
        <v>204</v>
      </c>
      <c r="E282" s="6">
        <v>181488.98</v>
      </c>
      <c r="F282" s="6">
        <v>265524.77</v>
      </c>
      <c r="G282" s="6">
        <v>1480.78</v>
      </c>
      <c r="H282" s="3">
        <v>5600</v>
      </c>
      <c r="I282" s="7" t="s">
        <v>204</v>
      </c>
      <c r="J282" s="6">
        <v>181488.98</v>
      </c>
      <c r="K282" s="6">
        <v>265524.77</v>
      </c>
      <c r="L282" s="6">
        <v>1480.78</v>
      </c>
      <c r="M282" s="19">
        <v>275</v>
      </c>
      <c r="N282" s="7" t="s">
        <v>240</v>
      </c>
      <c r="O282" s="20" t="s">
        <v>245</v>
      </c>
      <c r="P282" s="20" t="s">
        <v>245</v>
      </c>
      <c r="Q282" s="20" t="s">
        <v>245</v>
      </c>
      <c r="R282" s="21">
        <v>42561</v>
      </c>
      <c r="S282" s="22" t="s">
        <v>246</v>
      </c>
      <c r="T282" s="22">
        <v>2016</v>
      </c>
      <c r="U282" s="21">
        <v>42551</v>
      </c>
      <c r="V282" s="22"/>
    </row>
    <row r="283" spans="1:22" ht="19.5" customHeight="1" x14ac:dyDescent="0.3">
      <c r="A283" s="3">
        <v>2016</v>
      </c>
      <c r="B283" s="4">
        <v>42461</v>
      </c>
      <c r="C283" s="3">
        <v>5000</v>
      </c>
      <c r="D283" s="7" t="s">
        <v>205</v>
      </c>
      <c r="E283" s="6">
        <v>0</v>
      </c>
      <c r="F283" s="6">
        <v>31794.01</v>
      </c>
      <c r="G283" s="6">
        <v>0</v>
      </c>
      <c r="H283" s="3">
        <v>5600</v>
      </c>
      <c r="I283" s="7" t="s">
        <v>205</v>
      </c>
      <c r="J283" s="6">
        <v>0</v>
      </c>
      <c r="K283" s="6">
        <v>31794.01</v>
      </c>
      <c r="L283" s="6">
        <v>0</v>
      </c>
      <c r="M283" s="23">
        <v>276</v>
      </c>
      <c r="N283" s="7" t="s">
        <v>240</v>
      </c>
      <c r="O283" s="20" t="s">
        <v>245</v>
      </c>
      <c r="P283" s="20" t="s">
        <v>245</v>
      </c>
      <c r="Q283" s="20" t="s">
        <v>245</v>
      </c>
      <c r="R283" s="21">
        <v>42561</v>
      </c>
      <c r="S283" s="22" t="s">
        <v>246</v>
      </c>
      <c r="T283" s="22">
        <v>2016</v>
      </c>
      <c r="U283" s="21">
        <v>42551</v>
      </c>
      <c r="V283" s="22"/>
    </row>
    <row r="284" spans="1:22" ht="19.5" customHeight="1" x14ac:dyDescent="0.3">
      <c r="A284" s="3">
        <v>2016</v>
      </c>
      <c r="B284" s="4">
        <v>42461</v>
      </c>
      <c r="C284" s="3">
        <v>5000</v>
      </c>
      <c r="D284" s="7" t="s">
        <v>206</v>
      </c>
      <c r="E284" s="6">
        <v>41484.94</v>
      </c>
      <c r="F284" s="6">
        <v>271564.89</v>
      </c>
      <c r="G284" s="6">
        <v>166936.76</v>
      </c>
      <c r="H284" s="3">
        <v>5600</v>
      </c>
      <c r="I284" s="7" t="s">
        <v>206</v>
      </c>
      <c r="J284" s="6">
        <v>41484.94</v>
      </c>
      <c r="K284" s="6">
        <v>271564.89</v>
      </c>
      <c r="L284" s="6">
        <v>166936.76</v>
      </c>
      <c r="M284" s="19">
        <v>277</v>
      </c>
      <c r="N284" s="7" t="s">
        <v>240</v>
      </c>
      <c r="O284" s="20" t="s">
        <v>245</v>
      </c>
      <c r="P284" s="20" t="s">
        <v>245</v>
      </c>
      <c r="Q284" s="20" t="s">
        <v>245</v>
      </c>
      <c r="R284" s="21">
        <v>42561</v>
      </c>
      <c r="S284" s="22" t="s">
        <v>246</v>
      </c>
      <c r="T284" s="22">
        <v>2016</v>
      </c>
      <c r="U284" s="21">
        <v>42551</v>
      </c>
      <c r="V284" s="22"/>
    </row>
    <row r="285" spans="1:22" ht="19.5" customHeight="1" x14ac:dyDescent="0.3">
      <c r="A285" s="3">
        <v>2016</v>
      </c>
      <c r="B285" s="4">
        <v>42461</v>
      </c>
      <c r="C285" s="3">
        <v>5000</v>
      </c>
      <c r="D285" s="7" t="s">
        <v>207</v>
      </c>
      <c r="E285" s="6">
        <v>12324.56</v>
      </c>
      <c r="F285" s="6">
        <v>2305883.7599999998</v>
      </c>
      <c r="G285" s="6">
        <v>284999.99</v>
      </c>
      <c r="H285" s="3">
        <v>5600</v>
      </c>
      <c r="I285" s="7" t="s">
        <v>207</v>
      </c>
      <c r="J285" s="6">
        <v>12324.56</v>
      </c>
      <c r="K285" s="6">
        <v>2305883.7599999998</v>
      </c>
      <c r="L285" s="6">
        <v>284999.99</v>
      </c>
      <c r="M285" s="23">
        <v>278</v>
      </c>
      <c r="N285" s="7" t="s">
        <v>240</v>
      </c>
      <c r="O285" s="20" t="s">
        <v>245</v>
      </c>
      <c r="P285" s="20" t="s">
        <v>245</v>
      </c>
      <c r="Q285" s="20" t="s">
        <v>245</v>
      </c>
      <c r="R285" s="21">
        <v>42561</v>
      </c>
      <c r="S285" s="22" t="s">
        <v>246</v>
      </c>
      <c r="T285" s="22">
        <v>2016</v>
      </c>
      <c r="U285" s="21">
        <v>42551</v>
      </c>
      <c r="V285" s="22"/>
    </row>
    <row r="286" spans="1:22" ht="19.5" customHeight="1" x14ac:dyDescent="0.3">
      <c r="A286" s="3">
        <v>2016</v>
      </c>
      <c r="B286" s="4">
        <v>42461</v>
      </c>
      <c r="C286" s="3">
        <v>5000</v>
      </c>
      <c r="D286" s="7" t="s">
        <v>208</v>
      </c>
      <c r="E286" s="6">
        <v>0</v>
      </c>
      <c r="F286" s="6">
        <v>146589.43</v>
      </c>
      <c r="G286" s="6">
        <v>22835.42</v>
      </c>
      <c r="H286" s="3">
        <v>5600</v>
      </c>
      <c r="I286" s="7" t="s">
        <v>208</v>
      </c>
      <c r="J286" s="6">
        <v>0</v>
      </c>
      <c r="K286" s="6">
        <v>146589.43</v>
      </c>
      <c r="L286" s="6">
        <v>22835.42</v>
      </c>
      <c r="M286" s="19">
        <v>279</v>
      </c>
      <c r="N286" s="7" t="s">
        <v>240</v>
      </c>
      <c r="O286" s="20" t="s">
        <v>245</v>
      </c>
      <c r="P286" s="20" t="s">
        <v>245</v>
      </c>
      <c r="Q286" s="20" t="s">
        <v>245</v>
      </c>
      <c r="R286" s="21">
        <v>42561</v>
      </c>
      <c r="S286" s="22" t="s">
        <v>246</v>
      </c>
      <c r="T286" s="22">
        <v>2016</v>
      </c>
      <c r="U286" s="21">
        <v>42551</v>
      </c>
      <c r="V286" s="22"/>
    </row>
    <row r="287" spans="1:22" ht="19.5" customHeight="1" x14ac:dyDescent="0.3">
      <c r="A287" s="3">
        <v>2016</v>
      </c>
      <c r="B287" s="4">
        <v>42461</v>
      </c>
      <c r="C287" s="3">
        <v>5000</v>
      </c>
      <c r="D287" s="7" t="s">
        <v>209</v>
      </c>
      <c r="E287" s="6">
        <v>3200</v>
      </c>
      <c r="F287" s="6">
        <v>168066</v>
      </c>
      <c r="G287" s="6">
        <v>0</v>
      </c>
      <c r="H287" s="3">
        <v>5600</v>
      </c>
      <c r="I287" s="7" t="s">
        <v>209</v>
      </c>
      <c r="J287" s="6">
        <v>3200</v>
      </c>
      <c r="K287" s="6">
        <v>168066</v>
      </c>
      <c r="L287" s="6">
        <v>0</v>
      </c>
      <c r="M287" s="23">
        <v>280</v>
      </c>
      <c r="N287" s="7" t="s">
        <v>240</v>
      </c>
      <c r="O287" s="20" t="s">
        <v>245</v>
      </c>
      <c r="P287" s="20" t="s">
        <v>245</v>
      </c>
      <c r="Q287" s="20" t="s">
        <v>245</v>
      </c>
      <c r="R287" s="21">
        <v>42561</v>
      </c>
      <c r="S287" s="22" t="s">
        <v>246</v>
      </c>
      <c r="T287" s="22">
        <v>2016</v>
      </c>
      <c r="U287" s="21">
        <v>42551</v>
      </c>
      <c r="V287" s="22"/>
    </row>
    <row r="288" spans="1:22" ht="19.5" customHeight="1" x14ac:dyDescent="0.3">
      <c r="A288" s="3">
        <v>2016</v>
      </c>
      <c r="B288" s="4">
        <v>42461</v>
      </c>
      <c r="C288" s="3">
        <v>5000</v>
      </c>
      <c r="D288" s="7" t="s">
        <v>210</v>
      </c>
      <c r="E288" s="6">
        <v>19368</v>
      </c>
      <c r="F288" s="6">
        <v>401358.61</v>
      </c>
      <c r="G288" s="6">
        <v>47676</v>
      </c>
      <c r="H288" s="3">
        <v>5600</v>
      </c>
      <c r="I288" s="7" t="s">
        <v>210</v>
      </c>
      <c r="J288" s="6">
        <v>19368</v>
      </c>
      <c r="K288" s="6">
        <v>401358.61</v>
      </c>
      <c r="L288" s="6">
        <v>47676</v>
      </c>
      <c r="M288" s="19">
        <v>281</v>
      </c>
      <c r="N288" s="7" t="s">
        <v>240</v>
      </c>
      <c r="O288" s="20" t="s">
        <v>245</v>
      </c>
      <c r="P288" s="20" t="s">
        <v>245</v>
      </c>
      <c r="Q288" s="20" t="s">
        <v>245</v>
      </c>
      <c r="R288" s="21">
        <v>42561</v>
      </c>
      <c r="S288" s="22" t="s">
        <v>246</v>
      </c>
      <c r="T288" s="22">
        <v>2016</v>
      </c>
      <c r="U288" s="21">
        <v>42551</v>
      </c>
      <c r="V288" s="22"/>
    </row>
    <row r="289" spans="1:22" ht="19.5" customHeight="1" x14ac:dyDescent="0.3">
      <c r="A289" s="3">
        <v>2016</v>
      </c>
      <c r="B289" s="4">
        <v>42461</v>
      </c>
      <c r="C289" s="3">
        <v>5000</v>
      </c>
      <c r="D289" s="7" t="s">
        <v>211</v>
      </c>
      <c r="E289" s="6">
        <v>0</v>
      </c>
      <c r="F289" s="6">
        <v>31000000</v>
      </c>
      <c r="G289" s="6">
        <v>0</v>
      </c>
      <c r="H289" s="3">
        <v>5800</v>
      </c>
      <c r="I289" s="7" t="s">
        <v>211</v>
      </c>
      <c r="J289" s="6">
        <v>0</v>
      </c>
      <c r="K289" s="6">
        <v>31000000</v>
      </c>
      <c r="L289" s="6">
        <v>0</v>
      </c>
      <c r="M289" s="23">
        <v>282</v>
      </c>
      <c r="N289" s="7" t="s">
        <v>240</v>
      </c>
      <c r="O289" s="20" t="s">
        <v>245</v>
      </c>
      <c r="P289" s="20" t="s">
        <v>245</v>
      </c>
      <c r="Q289" s="20" t="s">
        <v>245</v>
      </c>
      <c r="R289" s="21">
        <v>42561</v>
      </c>
      <c r="S289" s="22" t="s">
        <v>246</v>
      </c>
      <c r="T289" s="22">
        <v>2016</v>
      </c>
      <c r="U289" s="21">
        <v>42551</v>
      </c>
      <c r="V289" s="22"/>
    </row>
    <row r="290" spans="1:22" ht="19.5" customHeight="1" x14ac:dyDescent="0.3">
      <c r="A290" s="3">
        <v>2016</v>
      </c>
      <c r="B290" s="4">
        <v>42461</v>
      </c>
      <c r="C290" s="3">
        <v>5000</v>
      </c>
      <c r="D290" s="7" t="s">
        <v>212</v>
      </c>
      <c r="E290" s="6">
        <v>171190</v>
      </c>
      <c r="F290" s="6">
        <v>208980</v>
      </c>
      <c r="G290" s="6">
        <v>0</v>
      </c>
      <c r="H290" s="3">
        <v>5900</v>
      </c>
      <c r="I290" s="7" t="s">
        <v>212</v>
      </c>
      <c r="J290" s="6">
        <v>171190</v>
      </c>
      <c r="K290" s="6">
        <v>208980</v>
      </c>
      <c r="L290" s="6">
        <v>0</v>
      </c>
      <c r="M290" s="19">
        <v>283</v>
      </c>
      <c r="N290" s="7" t="s">
        <v>240</v>
      </c>
      <c r="O290" s="20" t="s">
        <v>245</v>
      </c>
      <c r="P290" s="20" t="s">
        <v>245</v>
      </c>
      <c r="Q290" s="20" t="s">
        <v>245</v>
      </c>
      <c r="R290" s="21">
        <v>42561</v>
      </c>
      <c r="S290" s="22" t="s">
        <v>246</v>
      </c>
      <c r="T290" s="22">
        <v>2016</v>
      </c>
      <c r="U290" s="21">
        <v>42551</v>
      </c>
      <c r="V290" s="22"/>
    </row>
    <row r="291" spans="1:22" ht="19.5" customHeight="1" x14ac:dyDescent="0.3">
      <c r="A291" s="3">
        <v>2016</v>
      </c>
      <c r="B291" s="4">
        <v>42461</v>
      </c>
      <c r="C291" s="3">
        <v>5000</v>
      </c>
      <c r="D291" s="7" t="s">
        <v>213</v>
      </c>
      <c r="E291" s="6">
        <v>10000</v>
      </c>
      <c r="F291" s="6">
        <v>0</v>
      </c>
      <c r="G291" s="6">
        <v>0</v>
      </c>
      <c r="H291" s="3">
        <v>5900</v>
      </c>
      <c r="I291" s="7" t="s">
        <v>213</v>
      </c>
      <c r="J291" s="6">
        <v>10000</v>
      </c>
      <c r="K291" s="6">
        <v>0</v>
      </c>
      <c r="L291" s="6">
        <v>0</v>
      </c>
      <c r="M291" s="23">
        <v>284</v>
      </c>
      <c r="N291" s="7" t="s">
        <v>240</v>
      </c>
      <c r="O291" s="20" t="s">
        <v>245</v>
      </c>
      <c r="P291" s="20" t="s">
        <v>245</v>
      </c>
      <c r="Q291" s="20" t="s">
        <v>245</v>
      </c>
      <c r="R291" s="21">
        <v>42561</v>
      </c>
      <c r="S291" s="22" t="s">
        <v>246</v>
      </c>
      <c r="T291" s="22">
        <v>2016</v>
      </c>
      <c r="U291" s="21">
        <v>42551</v>
      </c>
      <c r="V291" s="22"/>
    </row>
    <row r="292" spans="1:22" ht="19.5" customHeight="1" x14ac:dyDescent="0.3">
      <c r="A292" s="3">
        <v>2016</v>
      </c>
      <c r="B292" s="4">
        <v>42461</v>
      </c>
      <c r="C292" s="3">
        <v>6000</v>
      </c>
      <c r="D292" s="7" t="s">
        <v>214</v>
      </c>
      <c r="E292" s="13">
        <v>0</v>
      </c>
      <c r="F292" s="13">
        <f>117936529.59+125150000</f>
        <v>243086529.59</v>
      </c>
      <c r="G292" s="13">
        <v>64348302.520000003</v>
      </c>
      <c r="H292" s="3">
        <v>6200</v>
      </c>
      <c r="I292" s="7" t="s">
        <v>214</v>
      </c>
      <c r="J292" s="13">
        <v>0</v>
      </c>
      <c r="K292" s="13">
        <f>117936529.59+125150000</f>
        <v>243086529.59</v>
      </c>
      <c r="L292" s="13">
        <v>64348302.520000003</v>
      </c>
      <c r="M292" s="19">
        <v>285</v>
      </c>
      <c r="N292" s="7" t="s">
        <v>241</v>
      </c>
      <c r="O292" s="20" t="s">
        <v>245</v>
      </c>
      <c r="P292" s="20" t="s">
        <v>245</v>
      </c>
      <c r="Q292" s="20" t="s">
        <v>245</v>
      </c>
      <c r="R292" s="21">
        <v>42561</v>
      </c>
      <c r="S292" s="22" t="s">
        <v>246</v>
      </c>
      <c r="T292" s="22">
        <v>2016</v>
      </c>
      <c r="U292" s="21">
        <v>42551</v>
      </c>
      <c r="V292" s="22"/>
    </row>
    <row r="293" spans="1:22" ht="19.5" customHeight="1" x14ac:dyDescent="0.3">
      <c r="A293" s="3">
        <v>2016</v>
      </c>
      <c r="B293" s="4">
        <v>42461</v>
      </c>
      <c r="C293" s="3">
        <v>6000</v>
      </c>
      <c r="D293" s="7" t="s">
        <v>215</v>
      </c>
      <c r="E293" s="13">
        <v>0</v>
      </c>
      <c r="F293" s="13">
        <v>7000000</v>
      </c>
      <c r="G293" s="13">
        <v>0</v>
      </c>
      <c r="H293" s="3">
        <v>6200</v>
      </c>
      <c r="I293" s="7" t="s">
        <v>215</v>
      </c>
      <c r="J293" s="13">
        <v>0</v>
      </c>
      <c r="K293" s="13">
        <v>7000000</v>
      </c>
      <c r="L293" s="13">
        <v>0</v>
      </c>
      <c r="M293" s="23">
        <v>286</v>
      </c>
      <c r="N293" s="7" t="s">
        <v>241</v>
      </c>
      <c r="O293" s="20" t="s">
        <v>245</v>
      </c>
      <c r="P293" s="20" t="s">
        <v>245</v>
      </c>
      <c r="Q293" s="20" t="s">
        <v>245</v>
      </c>
      <c r="R293" s="21">
        <v>42561</v>
      </c>
      <c r="S293" s="22" t="s">
        <v>246</v>
      </c>
      <c r="T293" s="22">
        <v>2016</v>
      </c>
      <c r="U293" s="21">
        <v>42551</v>
      </c>
      <c r="V293" s="22"/>
    </row>
    <row r="294" spans="1:22" ht="19.5" customHeight="1" x14ac:dyDescent="0.3">
      <c r="A294" s="3">
        <v>2016</v>
      </c>
      <c r="B294" s="4">
        <v>42552</v>
      </c>
      <c r="C294" s="3">
        <v>1000</v>
      </c>
      <c r="D294" s="7" t="s">
        <v>72</v>
      </c>
      <c r="E294" s="6">
        <v>313287673.25</v>
      </c>
      <c r="F294" s="6">
        <f>310659352.27+24782305.34</f>
        <v>335441657.60999995</v>
      </c>
      <c r="G294" s="6">
        <f>194238954.84+24782305.34</f>
        <v>219021260.18000001</v>
      </c>
      <c r="H294" s="3">
        <v>1100</v>
      </c>
      <c r="I294" s="7" t="s">
        <v>72</v>
      </c>
      <c r="J294" s="6">
        <v>313287673.25</v>
      </c>
      <c r="K294" s="6">
        <f>310659352.27+24782305.34</f>
        <v>335441657.60999995</v>
      </c>
      <c r="L294" s="6">
        <f>194238954.84+24782305.34</f>
        <v>219021260.18000001</v>
      </c>
      <c r="M294" s="19">
        <v>287</v>
      </c>
      <c r="N294" s="7" t="s">
        <v>236</v>
      </c>
      <c r="O294" s="20" t="s">
        <v>245</v>
      </c>
      <c r="P294" s="20" t="s">
        <v>245</v>
      </c>
      <c r="Q294" s="20" t="s">
        <v>245</v>
      </c>
      <c r="R294" s="21">
        <v>42653</v>
      </c>
      <c r="S294" s="22" t="s">
        <v>246</v>
      </c>
      <c r="T294" s="22">
        <v>2016</v>
      </c>
      <c r="U294" s="21">
        <v>42643</v>
      </c>
      <c r="V294" s="22"/>
    </row>
    <row r="295" spans="1:22" ht="19.5" customHeight="1" x14ac:dyDescent="0.3">
      <c r="A295" s="3">
        <v>2016</v>
      </c>
      <c r="B295" s="4">
        <v>42552</v>
      </c>
      <c r="C295" s="3">
        <v>1000</v>
      </c>
      <c r="D295" s="7" t="s">
        <v>73</v>
      </c>
      <c r="E295" s="6">
        <v>11046346.859999999</v>
      </c>
      <c r="F295" s="6">
        <f>11046346.86+501306</f>
        <v>11547652.859999999</v>
      </c>
      <c r="G295" s="6">
        <f>5925728.65+501306</f>
        <v>6427034.6500000004</v>
      </c>
      <c r="H295" s="3">
        <v>1200</v>
      </c>
      <c r="I295" s="7" t="s">
        <v>73</v>
      </c>
      <c r="J295" s="6">
        <v>11046346.859999999</v>
      </c>
      <c r="K295" s="6">
        <f>11046346.86+501306</f>
        <v>11547652.859999999</v>
      </c>
      <c r="L295" s="6">
        <f>5925728.65+501306</f>
        <v>6427034.6500000004</v>
      </c>
      <c r="M295" s="23">
        <v>288</v>
      </c>
      <c r="N295" s="7" t="s">
        <v>236</v>
      </c>
      <c r="O295" s="20" t="s">
        <v>245</v>
      </c>
      <c r="P295" s="20" t="s">
        <v>245</v>
      </c>
      <c r="Q295" s="20" t="s">
        <v>245</v>
      </c>
      <c r="R295" s="21">
        <v>42653</v>
      </c>
      <c r="S295" s="22" t="s">
        <v>246</v>
      </c>
      <c r="T295" s="22">
        <v>2016</v>
      </c>
      <c r="U295" s="21">
        <v>42643</v>
      </c>
      <c r="V295" s="22"/>
    </row>
    <row r="296" spans="1:22" ht="19.5" customHeight="1" x14ac:dyDescent="0.3">
      <c r="A296" s="3">
        <v>2016</v>
      </c>
      <c r="B296" s="4">
        <v>42552</v>
      </c>
      <c r="C296" s="3">
        <v>1000</v>
      </c>
      <c r="D296" s="7" t="s">
        <v>74</v>
      </c>
      <c r="E296" s="6">
        <v>0</v>
      </c>
      <c r="F296" s="6">
        <v>10990.08</v>
      </c>
      <c r="G296" s="6">
        <v>10990.08</v>
      </c>
      <c r="H296" s="3">
        <v>1300</v>
      </c>
      <c r="I296" s="7" t="s">
        <v>74</v>
      </c>
      <c r="J296" s="6">
        <v>0</v>
      </c>
      <c r="K296" s="6">
        <v>10990.08</v>
      </c>
      <c r="L296" s="6">
        <v>10990.08</v>
      </c>
      <c r="M296" s="19">
        <v>289</v>
      </c>
      <c r="N296" s="7" t="s">
        <v>236</v>
      </c>
      <c r="O296" s="20" t="s">
        <v>245</v>
      </c>
      <c r="P296" s="20" t="s">
        <v>245</v>
      </c>
      <c r="Q296" s="20" t="s">
        <v>245</v>
      </c>
      <c r="R296" s="21">
        <v>42653</v>
      </c>
      <c r="S296" s="22" t="s">
        <v>246</v>
      </c>
      <c r="T296" s="22">
        <v>2016</v>
      </c>
      <c r="U296" s="21">
        <v>42643</v>
      </c>
      <c r="V296" s="22"/>
    </row>
    <row r="297" spans="1:22" ht="19.5" customHeight="1" x14ac:dyDescent="0.3">
      <c r="A297" s="3">
        <v>2016</v>
      </c>
      <c r="B297" s="4">
        <v>42552</v>
      </c>
      <c r="C297" s="3">
        <v>1000</v>
      </c>
      <c r="D297" s="8" t="s">
        <v>75</v>
      </c>
      <c r="E297" s="6">
        <v>29170916.25</v>
      </c>
      <c r="F297" s="6">
        <v>29298148.300000001</v>
      </c>
      <c r="G297" s="6">
        <v>14113794.039999999</v>
      </c>
      <c r="H297" s="3">
        <v>1300</v>
      </c>
      <c r="I297" s="8" t="s">
        <v>75</v>
      </c>
      <c r="J297" s="6">
        <v>29170916.25</v>
      </c>
      <c r="K297" s="6">
        <v>29298148.300000001</v>
      </c>
      <c r="L297" s="6">
        <v>14113794.039999999</v>
      </c>
      <c r="M297" s="23">
        <v>290</v>
      </c>
      <c r="N297" s="7" t="s">
        <v>236</v>
      </c>
      <c r="O297" s="20" t="s">
        <v>245</v>
      </c>
      <c r="P297" s="20" t="s">
        <v>245</v>
      </c>
      <c r="Q297" s="20" t="s">
        <v>245</v>
      </c>
      <c r="R297" s="21">
        <v>42653</v>
      </c>
      <c r="S297" s="22" t="s">
        <v>246</v>
      </c>
      <c r="T297" s="22">
        <v>2016</v>
      </c>
      <c r="U297" s="21">
        <v>42643</v>
      </c>
      <c r="V297" s="22"/>
    </row>
    <row r="298" spans="1:22" ht="19.5" customHeight="1" x14ac:dyDescent="0.3">
      <c r="A298" s="3">
        <v>2016</v>
      </c>
      <c r="B298" s="4">
        <v>42552</v>
      </c>
      <c r="C298" s="3">
        <v>1000</v>
      </c>
      <c r="D298" s="8" t="s">
        <v>76</v>
      </c>
      <c r="E298" s="6">
        <v>33344246.120000001</v>
      </c>
      <c r="F298" s="6">
        <v>34258385.670000002</v>
      </c>
      <c r="G298" s="6">
        <v>945469.71</v>
      </c>
      <c r="H298" s="3">
        <v>1300</v>
      </c>
      <c r="I298" s="8" t="s">
        <v>76</v>
      </c>
      <c r="J298" s="6">
        <v>33344246.120000001</v>
      </c>
      <c r="K298" s="6">
        <v>34258385.670000002</v>
      </c>
      <c r="L298" s="6">
        <v>945469.71</v>
      </c>
      <c r="M298" s="19">
        <v>291</v>
      </c>
      <c r="N298" s="7" t="s">
        <v>236</v>
      </c>
      <c r="O298" s="20" t="s">
        <v>245</v>
      </c>
      <c r="P298" s="20" t="s">
        <v>245</v>
      </c>
      <c r="Q298" s="20" t="s">
        <v>245</v>
      </c>
      <c r="R298" s="21">
        <v>42653</v>
      </c>
      <c r="S298" s="22" t="s">
        <v>246</v>
      </c>
      <c r="T298" s="22">
        <v>2016</v>
      </c>
      <c r="U298" s="21">
        <v>42643</v>
      </c>
      <c r="V298" s="22"/>
    </row>
    <row r="299" spans="1:22" ht="19.5" customHeight="1" x14ac:dyDescent="0.3">
      <c r="A299" s="3">
        <v>2016</v>
      </c>
      <c r="B299" s="4">
        <v>42552</v>
      </c>
      <c r="C299" s="3">
        <v>1000</v>
      </c>
      <c r="D299" s="8" t="s">
        <v>77</v>
      </c>
      <c r="E299" s="6">
        <v>630000</v>
      </c>
      <c r="F299" s="6">
        <f>943879.87+71305.04</f>
        <v>1015184.91</v>
      </c>
      <c r="G299" s="6">
        <f>686563.05+71305.04</f>
        <v>757868.09000000008</v>
      </c>
      <c r="H299" s="3">
        <v>1300</v>
      </c>
      <c r="I299" s="8" t="s">
        <v>77</v>
      </c>
      <c r="J299" s="6">
        <v>630000</v>
      </c>
      <c r="K299" s="6">
        <f>943879.87+71305.04</f>
        <v>1015184.91</v>
      </c>
      <c r="L299" s="6">
        <f>686563.05+71305.04</f>
        <v>757868.09000000008</v>
      </c>
      <c r="M299" s="23">
        <v>292</v>
      </c>
      <c r="N299" s="7" t="s">
        <v>236</v>
      </c>
      <c r="O299" s="20" t="s">
        <v>245</v>
      </c>
      <c r="P299" s="20" t="s">
        <v>245</v>
      </c>
      <c r="Q299" s="20" t="s">
        <v>245</v>
      </c>
      <c r="R299" s="21">
        <v>42653</v>
      </c>
      <c r="S299" s="22" t="s">
        <v>246</v>
      </c>
      <c r="T299" s="22">
        <v>2016</v>
      </c>
      <c r="U299" s="21">
        <v>42643</v>
      </c>
      <c r="V299" s="22"/>
    </row>
    <row r="300" spans="1:22" ht="19.5" customHeight="1" x14ac:dyDescent="0.3">
      <c r="A300" s="3">
        <v>2016</v>
      </c>
      <c r="B300" s="4">
        <v>42552</v>
      </c>
      <c r="C300" s="3">
        <v>1000</v>
      </c>
      <c r="D300" s="8" t="s">
        <v>78</v>
      </c>
      <c r="E300" s="6">
        <v>210000</v>
      </c>
      <c r="F300" s="6">
        <v>210000</v>
      </c>
      <c r="G300" s="6">
        <v>46776</v>
      </c>
      <c r="H300" s="3">
        <v>1300</v>
      </c>
      <c r="I300" s="8" t="s">
        <v>78</v>
      </c>
      <c r="J300" s="6">
        <v>210000</v>
      </c>
      <c r="K300" s="6">
        <v>210000</v>
      </c>
      <c r="L300" s="6">
        <v>46776</v>
      </c>
      <c r="M300" s="19">
        <v>293</v>
      </c>
      <c r="N300" s="7" t="s">
        <v>236</v>
      </c>
      <c r="O300" s="20" t="s">
        <v>245</v>
      </c>
      <c r="P300" s="20" t="s">
        <v>245</v>
      </c>
      <c r="Q300" s="20" t="s">
        <v>245</v>
      </c>
      <c r="R300" s="21">
        <v>42653</v>
      </c>
      <c r="S300" s="22" t="s">
        <v>246</v>
      </c>
      <c r="T300" s="22">
        <v>2016</v>
      </c>
      <c r="U300" s="21">
        <v>42643</v>
      </c>
      <c r="V300" s="22"/>
    </row>
    <row r="301" spans="1:22" ht="19.5" customHeight="1" x14ac:dyDescent="0.3">
      <c r="A301" s="3">
        <v>2016</v>
      </c>
      <c r="B301" s="4">
        <v>42552</v>
      </c>
      <c r="C301" s="3">
        <v>1000</v>
      </c>
      <c r="D301" s="9" t="s">
        <v>79</v>
      </c>
      <c r="E301" s="6">
        <v>29919791.989999998</v>
      </c>
      <c r="F301" s="6">
        <f>29919791.99+2468290.26</f>
        <v>32388082.25</v>
      </c>
      <c r="G301" s="6">
        <f>19905983.8+2468290.26</f>
        <v>22374274.060000002</v>
      </c>
      <c r="H301" s="3">
        <v>1400</v>
      </c>
      <c r="I301" s="9" t="s">
        <v>79</v>
      </c>
      <c r="J301" s="6">
        <v>29919791.989999998</v>
      </c>
      <c r="K301" s="6">
        <f>29919791.99+2468290.26</f>
        <v>32388082.25</v>
      </c>
      <c r="L301" s="6">
        <f>19905983.8+2468290.26</f>
        <v>22374274.060000002</v>
      </c>
      <c r="M301" s="23">
        <v>294</v>
      </c>
      <c r="N301" s="7" t="s">
        <v>236</v>
      </c>
      <c r="O301" s="20" t="s">
        <v>245</v>
      </c>
      <c r="P301" s="20" t="s">
        <v>245</v>
      </c>
      <c r="Q301" s="20" t="s">
        <v>245</v>
      </c>
      <c r="R301" s="21">
        <v>42653</v>
      </c>
      <c r="S301" s="22" t="s">
        <v>246</v>
      </c>
      <c r="T301" s="22">
        <v>2016</v>
      </c>
      <c r="U301" s="21">
        <v>42643</v>
      </c>
      <c r="V301" s="22"/>
    </row>
    <row r="302" spans="1:22" ht="19.5" customHeight="1" x14ac:dyDescent="0.3">
      <c r="A302" s="3">
        <v>2016</v>
      </c>
      <c r="B302" s="4">
        <v>42552</v>
      </c>
      <c r="C302" s="3">
        <v>1000</v>
      </c>
      <c r="D302" s="9" t="s">
        <v>80</v>
      </c>
      <c r="E302" s="6">
        <v>15004910.73</v>
      </c>
      <c r="F302" s="6">
        <v>14883683.99</v>
      </c>
      <c r="G302" s="6">
        <v>9777665.8200000003</v>
      </c>
      <c r="H302" s="3">
        <v>1400</v>
      </c>
      <c r="I302" s="9" t="s">
        <v>80</v>
      </c>
      <c r="J302" s="6">
        <v>15004910.73</v>
      </c>
      <c r="K302" s="6">
        <v>14883683.99</v>
      </c>
      <c r="L302" s="6">
        <v>9777665.8200000003</v>
      </c>
      <c r="M302" s="19">
        <v>295</v>
      </c>
      <c r="N302" s="7" t="s">
        <v>236</v>
      </c>
      <c r="O302" s="20" t="s">
        <v>245</v>
      </c>
      <c r="P302" s="20" t="s">
        <v>245</v>
      </c>
      <c r="Q302" s="20" t="s">
        <v>245</v>
      </c>
      <c r="R302" s="21">
        <v>42653</v>
      </c>
      <c r="S302" s="22" t="s">
        <v>246</v>
      </c>
      <c r="T302" s="22">
        <v>2016</v>
      </c>
      <c r="U302" s="21">
        <v>42643</v>
      </c>
      <c r="V302" s="22"/>
    </row>
    <row r="303" spans="1:22" ht="19.5" customHeight="1" x14ac:dyDescent="0.3">
      <c r="A303" s="3">
        <v>2016</v>
      </c>
      <c r="B303" s="4">
        <v>42552</v>
      </c>
      <c r="C303" s="3">
        <v>1000</v>
      </c>
      <c r="D303" s="9" t="s">
        <v>81</v>
      </c>
      <c r="E303" s="6">
        <v>16212582.550000001</v>
      </c>
      <c r="F303" s="6">
        <v>16468390.380000001</v>
      </c>
      <c r="G303" s="6">
        <v>11180588.07</v>
      </c>
      <c r="H303" s="3">
        <v>1400</v>
      </c>
      <c r="I303" s="9" t="s">
        <v>81</v>
      </c>
      <c r="J303" s="6">
        <v>16212582.550000001</v>
      </c>
      <c r="K303" s="6">
        <v>16468390.380000001</v>
      </c>
      <c r="L303" s="6">
        <v>11180588.07</v>
      </c>
      <c r="M303" s="23">
        <v>296</v>
      </c>
      <c r="N303" s="7" t="s">
        <v>236</v>
      </c>
      <c r="O303" s="20" t="s">
        <v>245</v>
      </c>
      <c r="P303" s="20" t="s">
        <v>245</v>
      </c>
      <c r="Q303" s="20" t="s">
        <v>245</v>
      </c>
      <c r="R303" s="21">
        <v>42653</v>
      </c>
      <c r="S303" s="22" t="s">
        <v>246</v>
      </c>
      <c r="T303" s="22">
        <v>2016</v>
      </c>
      <c r="U303" s="21">
        <v>42643</v>
      </c>
      <c r="V303" s="22"/>
    </row>
    <row r="304" spans="1:22" ht="19.5" customHeight="1" x14ac:dyDescent="0.3">
      <c r="A304" s="3">
        <v>2016</v>
      </c>
      <c r="B304" s="4">
        <v>42552</v>
      </c>
      <c r="C304" s="3">
        <v>1000</v>
      </c>
      <c r="D304" s="9" t="s">
        <v>82</v>
      </c>
      <c r="E304" s="6">
        <v>14794007.189999999</v>
      </c>
      <c r="F304" s="6">
        <v>14122471.199999999</v>
      </c>
      <c r="G304" s="6">
        <v>8864273.4499999993</v>
      </c>
      <c r="H304" s="3">
        <v>1400</v>
      </c>
      <c r="I304" s="9" t="s">
        <v>82</v>
      </c>
      <c r="J304" s="6">
        <v>14794007.189999999</v>
      </c>
      <c r="K304" s="6">
        <v>14122471.199999999</v>
      </c>
      <c r="L304" s="6">
        <v>8864273.4499999993</v>
      </c>
      <c r="M304" s="19">
        <v>297</v>
      </c>
      <c r="N304" s="7" t="s">
        <v>236</v>
      </c>
      <c r="O304" s="20" t="s">
        <v>245</v>
      </c>
      <c r="P304" s="20" t="s">
        <v>245</v>
      </c>
      <c r="Q304" s="20" t="s">
        <v>245</v>
      </c>
      <c r="R304" s="21">
        <v>42653</v>
      </c>
      <c r="S304" s="22" t="s">
        <v>246</v>
      </c>
      <c r="T304" s="22">
        <v>2016</v>
      </c>
      <c r="U304" s="21">
        <v>42643</v>
      </c>
      <c r="V304" s="22"/>
    </row>
    <row r="305" spans="1:22" ht="19.5" customHeight="1" x14ac:dyDescent="0.3">
      <c r="A305" s="3">
        <v>2016</v>
      </c>
      <c r="B305" s="4">
        <v>42552</v>
      </c>
      <c r="C305" s="3">
        <v>1000</v>
      </c>
      <c r="D305" s="9" t="s">
        <v>83</v>
      </c>
      <c r="E305" s="6">
        <v>1036899.45</v>
      </c>
      <c r="F305" s="6">
        <v>807044.85</v>
      </c>
      <c r="G305" s="6">
        <v>0</v>
      </c>
      <c r="H305" s="3">
        <v>1400</v>
      </c>
      <c r="I305" s="9" t="s">
        <v>83</v>
      </c>
      <c r="J305" s="6">
        <v>1036899.45</v>
      </c>
      <c r="K305" s="6">
        <v>807044.85</v>
      </c>
      <c r="L305" s="6">
        <v>0</v>
      </c>
      <c r="M305" s="23">
        <v>298</v>
      </c>
      <c r="N305" s="7" t="s">
        <v>236</v>
      </c>
      <c r="O305" s="20" t="s">
        <v>245</v>
      </c>
      <c r="P305" s="20" t="s">
        <v>245</v>
      </c>
      <c r="Q305" s="20" t="s">
        <v>245</v>
      </c>
      <c r="R305" s="21">
        <v>42653</v>
      </c>
      <c r="S305" s="22" t="s">
        <v>246</v>
      </c>
      <c r="T305" s="22">
        <v>2016</v>
      </c>
      <c r="U305" s="21">
        <v>42643</v>
      </c>
      <c r="V305" s="22"/>
    </row>
    <row r="306" spans="1:22" ht="19.5" customHeight="1" x14ac:dyDescent="0.3">
      <c r="A306" s="3">
        <v>2016</v>
      </c>
      <c r="B306" s="4">
        <v>42552</v>
      </c>
      <c r="C306" s="3">
        <v>1000</v>
      </c>
      <c r="D306" s="9" t="s">
        <v>84</v>
      </c>
      <c r="E306" s="6">
        <v>0</v>
      </c>
      <c r="F306" s="6">
        <v>6323285.5300000003</v>
      </c>
      <c r="G306" s="6">
        <v>1214366.92</v>
      </c>
      <c r="H306" s="3">
        <v>1500</v>
      </c>
      <c r="I306" s="9" t="s">
        <v>84</v>
      </c>
      <c r="J306" s="6">
        <v>0</v>
      </c>
      <c r="K306" s="6">
        <v>6323285.5300000003</v>
      </c>
      <c r="L306" s="6">
        <v>1214366.92</v>
      </c>
      <c r="M306" s="19">
        <v>299</v>
      </c>
      <c r="N306" s="7" t="s">
        <v>236</v>
      </c>
      <c r="O306" s="20" t="s">
        <v>245</v>
      </c>
      <c r="P306" s="20" t="s">
        <v>245</v>
      </c>
      <c r="Q306" s="20" t="s">
        <v>245</v>
      </c>
      <c r="R306" s="21">
        <v>42653</v>
      </c>
      <c r="S306" s="22" t="s">
        <v>246</v>
      </c>
      <c r="T306" s="22">
        <v>2016</v>
      </c>
      <c r="U306" s="21">
        <v>42643</v>
      </c>
      <c r="V306" s="22"/>
    </row>
    <row r="307" spans="1:22" ht="19.5" customHeight="1" x14ac:dyDescent="0.3">
      <c r="A307" s="3">
        <v>2016</v>
      </c>
      <c r="B307" s="4">
        <v>42552</v>
      </c>
      <c r="C307" s="3">
        <v>1000</v>
      </c>
      <c r="D307" s="9" t="s">
        <v>85</v>
      </c>
      <c r="E307" s="6">
        <v>6007116.7999999998</v>
      </c>
      <c r="F307" s="6">
        <v>5986725.5199999996</v>
      </c>
      <c r="G307" s="6">
        <v>1254133.69</v>
      </c>
      <c r="H307" s="3">
        <v>1500</v>
      </c>
      <c r="I307" s="9" t="s">
        <v>85</v>
      </c>
      <c r="J307" s="6">
        <v>6007116.7999999998</v>
      </c>
      <c r="K307" s="6">
        <v>5986725.5199999996</v>
      </c>
      <c r="L307" s="6">
        <v>1254133.69</v>
      </c>
      <c r="M307" s="23">
        <v>300</v>
      </c>
      <c r="N307" s="7" t="s">
        <v>236</v>
      </c>
      <c r="O307" s="20" t="s">
        <v>245</v>
      </c>
      <c r="P307" s="20" t="s">
        <v>245</v>
      </c>
      <c r="Q307" s="20" t="s">
        <v>245</v>
      </c>
      <c r="R307" s="21">
        <v>42653</v>
      </c>
      <c r="S307" s="22" t="s">
        <v>246</v>
      </c>
      <c r="T307" s="22">
        <v>2016</v>
      </c>
      <c r="U307" s="21">
        <v>42643</v>
      </c>
      <c r="V307" s="22"/>
    </row>
    <row r="308" spans="1:22" ht="19.5" customHeight="1" x14ac:dyDescent="0.3">
      <c r="A308" s="3">
        <v>2016</v>
      </c>
      <c r="B308" s="4">
        <v>42552</v>
      </c>
      <c r="C308" s="3">
        <v>1000</v>
      </c>
      <c r="D308" s="9" t="s">
        <v>86</v>
      </c>
      <c r="E308" s="6">
        <v>150000</v>
      </c>
      <c r="F308" s="6">
        <v>150000</v>
      </c>
      <c r="G308" s="6">
        <v>97810.2</v>
      </c>
      <c r="H308" s="3">
        <v>1500</v>
      </c>
      <c r="I308" s="9" t="s">
        <v>86</v>
      </c>
      <c r="J308" s="6">
        <v>150000</v>
      </c>
      <c r="K308" s="6">
        <v>150000</v>
      </c>
      <c r="L308" s="6">
        <v>97810.2</v>
      </c>
      <c r="M308" s="19">
        <v>301</v>
      </c>
      <c r="N308" s="7" t="s">
        <v>236</v>
      </c>
      <c r="O308" s="20" t="s">
        <v>245</v>
      </c>
      <c r="P308" s="20" t="s">
        <v>245</v>
      </c>
      <c r="Q308" s="20" t="s">
        <v>245</v>
      </c>
      <c r="R308" s="21">
        <v>42653</v>
      </c>
      <c r="S308" s="22" t="s">
        <v>246</v>
      </c>
      <c r="T308" s="22">
        <v>2016</v>
      </c>
      <c r="U308" s="21">
        <v>42643</v>
      </c>
      <c r="V308" s="22"/>
    </row>
    <row r="309" spans="1:22" ht="19.5" customHeight="1" x14ac:dyDescent="0.3">
      <c r="A309" s="3">
        <v>2016</v>
      </c>
      <c r="B309" s="4">
        <v>42552</v>
      </c>
      <c r="C309" s="3">
        <v>1000</v>
      </c>
      <c r="D309" s="9" t="s">
        <v>87</v>
      </c>
      <c r="E309" s="6">
        <v>615000</v>
      </c>
      <c r="F309" s="6">
        <v>615000</v>
      </c>
      <c r="G309" s="6">
        <v>269345.59999999998</v>
      </c>
      <c r="H309" s="3">
        <v>1500</v>
      </c>
      <c r="I309" s="9" t="s">
        <v>87</v>
      </c>
      <c r="J309" s="6">
        <v>615000</v>
      </c>
      <c r="K309" s="6">
        <v>615000</v>
      </c>
      <c r="L309" s="6">
        <v>269345.59999999998</v>
      </c>
      <c r="M309" s="23">
        <v>302</v>
      </c>
      <c r="N309" s="7" t="s">
        <v>236</v>
      </c>
      <c r="O309" s="20" t="s">
        <v>245</v>
      </c>
      <c r="P309" s="20" t="s">
        <v>245</v>
      </c>
      <c r="Q309" s="20" t="s">
        <v>245</v>
      </c>
      <c r="R309" s="21">
        <v>42653</v>
      </c>
      <c r="S309" s="22" t="s">
        <v>246</v>
      </c>
      <c r="T309" s="22">
        <v>2016</v>
      </c>
      <c r="U309" s="21">
        <v>42643</v>
      </c>
      <c r="V309" s="22"/>
    </row>
    <row r="310" spans="1:22" ht="19.5" customHeight="1" x14ac:dyDescent="0.3">
      <c r="A310" s="3">
        <v>2016</v>
      </c>
      <c r="B310" s="4">
        <v>42552</v>
      </c>
      <c r="C310" s="3">
        <v>1000</v>
      </c>
      <c r="D310" s="9" t="s">
        <v>88</v>
      </c>
      <c r="E310" s="6">
        <v>120017944.8</v>
      </c>
      <c r="F310" s="6">
        <f>118407515.97+5439060.04</f>
        <v>123846576.01000001</v>
      </c>
      <c r="G310" s="6">
        <f>43625082.65+5439060.04</f>
        <v>49064142.689999998</v>
      </c>
      <c r="H310" s="3">
        <v>1500</v>
      </c>
      <c r="I310" s="9" t="s">
        <v>88</v>
      </c>
      <c r="J310" s="6">
        <v>120017944.8</v>
      </c>
      <c r="K310" s="6">
        <f>118407515.97+5439060.04</f>
        <v>123846576.01000001</v>
      </c>
      <c r="L310" s="6">
        <f>43625082.65+5439060.04</f>
        <v>49064142.689999998</v>
      </c>
      <c r="M310" s="19">
        <v>303</v>
      </c>
      <c r="N310" s="7" t="s">
        <v>236</v>
      </c>
      <c r="O310" s="20" t="s">
        <v>245</v>
      </c>
      <c r="P310" s="20" t="s">
        <v>245</v>
      </c>
      <c r="Q310" s="20" t="s">
        <v>245</v>
      </c>
      <c r="R310" s="21">
        <v>42653</v>
      </c>
      <c r="S310" s="22" t="s">
        <v>246</v>
      </c>
      <c r="T310" s="22">
        <v>2016</v>
      </c>
      <c r="U310" s="21">
        <v>42643</v>
      </c>
      <c r="V310" s="22"/>
    </row>
    <row r="311" spans="1:22" ht="19.5" customHeight="1" x14ac:dyDescent="0.3">
      <c r="A311" s="3">
        <v>2016</v>
      </c>
      <c r="B311" s="4">
        <v>42552</v>
      </c>
      <c r="C311" s="3">
        <v>1000</v>
      </c>
      <c r="D311" s="9" t="s">
        <v>89</v>
      </c>
      <c r="E311" s="6">
        <v>841200</v>
      </c>
      <c r="F311" s="6">
        <v>934326</v>
      </c>
      <c r="G311" s="6">
        <v>575190</v>
      </c>
      <c r="H311" s="3">
        <v>1500</v>
      </c>
      <c r="I311" s="9" t="s">
        <v>89</v>
      </c>
      <c r="J311" s="6">
        <v>841200</v>
      </c>
      <c r="K311" s="6">
        <v>934326</v>
      </c>
      <c r="L311" s="6">
        <v>575190</v>
      </c>
      <c r="M311" s="23">
        <v>304</v>
      </c>
      <c r="N311" s="7" t="s">
        <v>236</v>
      </c>
      <c r="O311" s="20" t="s">
        <v>245</v>
      </c>
      <c r="P311" s="20" t="s">
        <v>245</v>
      </c>
      <c r="Q311" s="20" t="s">
        <v>245</v>
      </c>
      <c r="R311" s="21">
        <v>42653</v>
      </c>
      <c r="S311" s="22" t="s">
        <v>246</v>
      </c>
      <c r="T311" s="22">
        <v>2016</v>
      </c>
      <c r="U311" s="21">
        <v>42643</v>
      </c>
      <c r="V311" s="22"/>
    </row>
    <row r="312" spans="1:22" ht="19.5" customHeight="1" x14ac:dyDescent="0.3">
      <c r="A312" s="3">
        <v>2016</v>
      </c>
      <c r="B312" s="4">
        <v>42552</v>
      </c>
      <c r="C312" s="3">
        <v>1000</v>
      </c>
      <c r="D312" s="7" t="s">
        <v>90</v>
      </c>
      <c r="E312" s="6">
        <v>359652</v>
      </c>
      <c r="F312" s="6">
        <v>359652</v>
      </c>
      <c r="G312" s="6">
        <v>0</v>
      </c>
      <c r="H312" s="3">
        <v>1500</v>
      </c>
      <c r="I312" s="7" t="s">
        <v>90</v>
      </c>
      <c r="J312" s="6">
        <v>359652</v>
      </c>
      <c r="K312" s="6">
        <v>359652</v>
      </c>
      <c r="L312" s="6">
        <v>0</v>
      </c>
      <c r="M312" s="19">
        <v>305</v>
      </c>
      <c r="N312" s="7" t="s">
        <v>236</v>
      </c>
      <c r="O312" s="20" t="s">
        <v>245</v>
      </c>
      <c r="P312" s="20" t="s">
        <v>245</v>
      </c>
      <c r="Q312" s="20" t="s">
        <v>245</v>
      </c>
      <c r="R312" s="21">
        <v>42653</v>
      </c>
      <c r="S312" s="22" t="s">
        <v>246</v>
      </c>
      <c r="T312" s="22">
        <v>2016</v>
      </c>
      <c r="U312" s="21">
        <v>42643</v>
      </c>
      <c r="V312" s="22"/>
    </row>
    <row r="313" spans="1:22" ht="19.5" customHeight="1" x14ac:dyDescent="0.3">
      <c r="A313" s="3">
        <v>2016</v>
      </c>
      <c r="B313" s="4">
        <v>42552</v>
      </c>
      <c r="C313" s="3">
        <v>1000</v>
      </c>
      <c r="D313" s="7" t="s">
        <v>91</v>
      </c>
      <c r="E313" s="6">
        <f>273868426.69+150000000</f>
        <v>423868426.69</v>
      </c>
      <c r="F313" s="6">
        <f>270559521.05+114918246.32</f>
        <v>385477767.37</v>
      </c>
      <c r="G313" s="6">
        <f>243199046.77+30356400.67</f>
        <v>273555447.44</v>
      </c>
      <c r="H313" s="3">
        <v>1500</v>
      </c>
      <c r="I313" s="7" t="s">
        <v>91</v>
      </c>
      <c r="J313" s="6">
        <f>273868426.69+150000000</f>
        <v>423868426.69</v>
      </c>
      <c r="K313" s="6">
        <f>270559521.05+114918246.32</f>
        <v>385477767.37</v>
      </c>
      <c r="L313" s="6">
        <f>243199046.77+30356400.67</f>
        <v>273555447.44</v>
      </c>
      <c r="M313" s="23">
        <v>306</v>
      </c>
      <c r="N313" s="7" t="s">
        <v>236</v>
      </c>
      <c r="O313" s="20" t="s">
        <v>245</v>
      </c>
      <c r="P313" s="20" t="s">
        <v>245</v>
      </c>
      <c r="Q313" s="20" t="s">
        <v>245</v>
      </c>
      <c r="R313" s="21">
        <v>42653</v>
      </c>
      <c r="S313" s="22" t="s">
        <v>246</v>
      </c>
      <c r="T313" s="22">
        <v>2016</v>
      </c>
      <c r="U313" s="21">
        <v>42643</v>
      </c>
      <c r="V313" s="22"/>
    </row>
    <row r="314" spans="1:22" ht="19.5" customHeight="1" x14ac:dyDescent="0.3">
      <c r="A314" s="3">
        <v>2016</v>
      </c>
      <c r="B314" s="4">
        <v>42552</v>
      </c>
      <c r="C314" s="3">
        <v>2000</v>
      </c>
      <c r="D314" s="9" t="s">
        <v>93</v>
      </c>
      <c r="E314" s="6">
        <v>2635826.1</v>
      </c>
      <c r="F314" s="6">
        <f>2060496.56+265764.34</f>
        <v>2326260.9</v>
      </c>
      <c r="G314" s="6">
        <f>1091954.73+17847.36</f>
        <v>1109802.0900000001</v>
      </c>
      <c r="H314" s="3">
        <v>2100</v>
      </c>
      <c r="I314" s="9" t="s">
        <v>93</v>
      </c>
      <c r="J314" s="6">
        <v>2635826.1</v>
      </c>
      <c r="K314" s="6">
        <f>2060496.56+265764.34</f>
        <v>2326260.9</v>
      </c>
      <c r="L314" s="6">
        <f>1091954.73+17847.36</f>
        <v>1109802.0900000001</v>
      </c>
      <c r="M314" s="19">
        <v>307</v>
      </c>
      <c r="N314" s="7" t="s">
        <v>237</v>
      </c>
      <c r="O314" s="20" t="s">
        <v>245</v>
      </c>
      <c r="P314" s="20" t="s">
        <v>245</v>
      </c>
      <c r="Q314" s="20" t="s">
        <v>245</v>
      </c>
      <c r="R314" s="21">
        <v>42653</v>
      </c>
      <c r="S314" s="22" t="s">
        <v>246</v>
      </c>
      <c r="T314" s="22">
        <v>2016</v>
      </c>
      <c r="U314" s="21">
        <v>42643</v>
      </c>
      <c r="V314" s="22"/>
    </row>
    <row r="315" spans="1:22" ht="19.5" customHeight="1" x14ac:dyDescent="0.3">
      <c r="A315" s="3">
        <v>2016</v>
      </c>
      <c r="B315" s="4">
        <v>42552</v>
      </c>
      <c r="C315" s="3">
        <v>2000</v>
      </c>
      <c r="D315" s="9" t="s">
        <v>94</v>
      </c>
      <c r="E315" s="6">
        <v>2756274</v>
      </c>
      <c r="F315" s="6">
        <f>2023706.11+152192</f>
        <v>2175898.1100000003</v>
      </c>
      <c r="G315" s="6">
        <f>59955.76+151869.52</f>
        <v>211825.28</v>
      </c>
      <c r="H315" s="3">
        <v>2100</v>
      </c>
      <c r="I315" s="9" t="s">
        <v>94</v>
      </c>
      <c r="J315" s="6">
        <v>2756274</v>
      </c>
      <c r="K315" s="6">
        <f>2023706.11+152192</f>
        <v>2175898.1100000003</v>
      </c>
      <c r="L315" s="6">
        <f>59955.76+151869.52</f>
        <v>211825.28</v>
      </c>
      <c r="M315" s="23">
        <v>308</v>
      </c>
      <c r="N315" s="7" t="s">
        <v>237</v>
      </c>
      <c r="O315" s="20" t="s">
        <v>245</v>
      </c>
      <c r="P315" s="20" t="s">
        <v>245</v>
      </c>
      <c r="Q315" s="20" t="s">
        <v>245</v>
      </c>
      <c r="R315" s="21">
        <v>42653</v>
      </c>
      <c r="S315" s="22" t="s">
        <v>246</v>
      </c>
      <c r="T315" s="22">
        <v>2016</v>
      </c>
      <c r="U315" s="21">
        <v>42643</v>
      </c>
      <c r="V315" s="22"/>
    </row>
    <row r="316" spans="1:22" ht="19.5" customHeight="1" x14ac:dyDescent="0.3">
      <c r="A316" s="3">
        <v>2016</v>
      </c>
      <c r="B316" s="4">
        <v>42552</v>
      </c>
      <c r="C316" s="3">
        <v>2000</v>
      </c>
      <c r="D316" s="9" t="s">
        <v>95</v>
      </c>
      <c r="E316" s="6">
        <v>4704498.9400000004</v>
      </c>
      <c r="F316" s="6">
        <f>3893016.49+4080141.29</f>
        <v>7973157.7800000003</v>
      </c>
      <c r="G316" s="6">
        <f>183443.06+93241.43</f>
        <v>276684.49</v>
      </c>
      <c r="H316" s="3">
        <v>2100</v>
      </c>
      <c r="I316" s="9" t="s">
        <v>95</v>
      </c>
      <c r="J316" s="6">
        <v>4704498.9400000004</v>
      </c>
      <c r="K316" s="6">
        <f>3893016.49+4080141.29</f>
        <v>7973157.7800000003</v>
      </c>
      <c r="L316" s="6">
        <f>183443.06+93241.43</f>
        <v>276684.49</v>
      </c>
      <c r="M316" s="19">
        <v>309</v>
      </c>
      <c r="N316" s="7" t="s">
        <v>237</v>
      </c>
      <c r="O316" s="20" t="s">
        <v>245</v>
      </c>
      <c r="P316" s="20" t="s">
        <v>245</v>
      </c>
      <c r="Q316" s="20" t="s">
        <v>245</v>
      </c>
      <c r="R316" s="21">
        <v>42653</v>
      </c>
      <c r="S316" s="22" t="s">
        <v>246</v>
      </c>
      <c r="T316" s="22">
        <v>2016</v>
      </c>
      <c r="U316" s="21">
        <v>42643</v>
      </c>
      <c r="V316" s="22"/>
    </row>
    <row r="317" spans="1:22" ht="19.5" customHeight="1" x14ac:dyDescent="0.3">
      <c r="A317" s="3">
        <v>2016</v>
      </c>
      <c r="B317" s="4">
        <v>42552</v>
      </c>
      <c r="C317" s="3">
        <v>2000</v>
      </c>
      <c r="D317" s="9" t="s">
        <v>96</v>
      </c>
      <c r="E317" s="6">
        <v>1379230</v>
      </c>
      <c r="F317" s="6">
        <f>1091901.64+481877.2</f>
        <v>1573778.8399999999</v>
      </c>
      <c r="G317" s="6">
        <f>26189.4+273361.2</f>
        <v>299550.60000000003</v>
      </c>
      <c r="H317" s="3">
        <v>2100</v>
      </c>
      <c r="I317" s="9" t="s">
        <v>96</v>
      </c>
      <c r="J317" s="6">
        <v>1379230</v>
      </c>
      <c r="K317" s="6">
        <f>1091901.64+481877.2</f>
        <v>1573778.8399999999</v>
      </c>
      <c r="L317" s="6">
        <f>26189.4+273361.2</f>
        <v>299550.60000000003</v>
      </c>
      <c r="M317" s="23">
        <v>310</v>
      </c>
      <c r="N317" s="7" t="s">
        <v>237</v>
      </c>
      <c r="O317" s="20" t="s">
        <v>245</v>
      </c>
      <c r="P317" s="20" t="s">
        <v>245</v>
      </c>
      <c r="Q317" s="20" t="s">
        <v>245</v>
      </c>
      <c r="R317" s="21">
        <v>42653</v>
      </c>
      <c r="S317" s="22" t="s">
        <v>246</v>
      </c>
      <c r="T317" s="22">
        <v>2016</v>
      </c>
      <c r="U317" s="21">
        <v>42643</v>
      </c>
      <c r="V317" s="22"/>
    </row>
    <row r="318" spans="1:22" ht="19.5" customHeight="1" x14ac:dyDescent="0.3">
      <c r="A318" s="3">
        <v>2016</v>
      </c>
      <c r="B318" s="4">
        <v>42552</v>
      </c>
      <c r="C318" s="3">
        <v>2000</v>
      </c>
      <c r="D318" s="9" t="s">
        <v>97</v>
      </c>
      <c r="E318" s="6">
        <v>1803200</v>
      </c>
      <c r="F318" s="6">
        <f>1636096.97+144560.85</f>
        <v>1780657.82</v>
      </c>
      <c r="G318" s="6">
        <f>1276902.15+131649.56</f>
        <v>1408551.71</v>
      </c>
      <c r="H318" s="3">
        <v>2100</v>
      </c>
      <c r="I318" s="9" t="s">
        <v>97</v>
      </c>
      <c r="J318" s="6">
        <v>1803200</v>
      </c>
      <c r="K318" s="6">
        <f>1636096.97+144560.85</f>
        <v>1780657.82</v>
      </c>
      <c r="L318" s="6">
        <f>1276902.15+131649.56</f>
        <v>1408551.71</v>
      </c>
      <c r="M318" s="19">
        <v>311</v>
      </c>
      <c r="N318" s="7" t="s">
        <v>237</v>
      </c>
      <c r="O318" s="20" t="s">
        <v>245</v>
      </c>
      <c r="P318" s="20" t="s">
        <v>245</v>
      </c>
      <c r="Q318" s="20" t="s">
        <v>245</v>
      </c>
      <c r="R318" s="21">
        <v>42653</v>
      </c>
      <c r="S318" s="22" t="s">
        <v>246</v>
      </c>
      <c r="T318" s="22">
        <v>2016</v>
      </c>
      <c r="U318" s="21">
        <v>42643</v>
      </c>
      <c r="V318" s="22"/>
    </row>
    <row r="319" spans="1:22" ht="19.5" customHeight="1" x14ac:dyDescent="0.3">
      <c r="A319" s="3">
        <v>2016</v>
      </c>
      <c r="B319" s="4">
        <v>42552</v>
      </c>
      <c r="C319" s="3">
        <v>2000</v>
      </c>
      <c r="D319" s="9" t="s">
        <v>98</v>
      </c>
      <c r="E319" s="6">
        <v>268699.95</v>
      </c>
      <c r="F319" s="6">
        <f>88718.7+28586.2</f>
        <v>117304.9</v>
      </c>
      <c r="G319" s="6">
        <f>1739.2+21669.85</f>
        <v>23409.05</v>
      </c>
      <c r="H319" s="3">
        <v>2100</v>
      </c>
      <c r="I319" s="9" t="s">
        <v>98</v>
      </c>
      <c r="J319" s="6">
        <v>268699.95</v>
      </c>
      <c r="K319" s="6">
        <f>88718.7+28586.2</f>
        <v>117304.9</v>
      </c>
      <c r="L319" s="6">
        <f>1739.2+21669.85</f>
        <v>23409.05</v>
      </c>
      <c r="M319" s="23">
        <v>312</v>
      </c>
      <c r="N319" s="7" t="s">
        <v>237</v>
      </c>
      <c r="O319" s="20" t="s">
        <v>245</v>
      </c>
      <c r="P319" s="20" t="s">
        <v>245</v>
      </c>
      <c r="Q319" s="20" t="s">
        <v>245</v>
      </c>
      <c r="R319" s="21">
        <v>42653</v>
      </c>
      <c r="S319" s="22" t="s">
        <v>246</v>
      </c>
      <c r="T319" s="22">
        <v>2016</v>
      </c>
      <c r="U319" s="21">
        <v>42643</v>
      </c>
      <c r="V319" s="22"/>
    </row>
    <row r="320" spans="1:22" ht="19.5" customHeight="1" x14ac:dyDescent="0.3">
      <c r="A320" s="3">
        <v>2016</v>
      </c>
      <c r="B320" s="4">
        <v>42552</v>
      </c>
      <c r="C320" s="3">
        <v>2000</v>
      </c>
      <c r="D320" s="7" t="s">
        <v>99</v>
      </c>
      <c r="E320" s="6">
        <v>116000</v>
      </c>
      <c r="F320" s="6">
        <v>41000</v>
      </c>
      <c r="G320" s="6">
        <v>0</v>
      </c>
      <c r="H320" s="3">
        <v>2100</v>
      </c>
      <c r="I320" s="7" t="s">
        <v>99</v>
      </c>
      <c r="J320" s="6">
        <v>116000</v>
      </c>
      <c r="K320" s="6">
        <v>41000</v>
      </c>
      <c r="L320" s="6">
        <v>0</v>
      </c>
      <c r="M320" s="19">
        <v>313</v>
      </c>
      <c r="N320" s="7" t="s">
        <v>237</v>
      </c>
      <c r="O320" s="20" t="s">
        <v>245</v>
      </c>
      <c r="P320" s="20" t="s">
        <v>245</v>
      </c>
      <c r="Q320" s="20" t="s">
        <v>245</v>
      </c>
      <c r="R320" s="21">
        <v>42653</v>
      </c>
      <c r="S320" s="22" t="s">
        <v>246</v>
      </c>
      <c r="T320" s="22">
        <v>2016</v>
      </c>
      <c r="U320" s="21">
        <v>42643</v>
      </c>
      <c r="V320" s="22"/>
    </row>
    <row r="321" spans="1:22" ht="19.5" customHeight="1" x14ac:dyDescent="0.3">
      <c r="A321" s="3">
        <v>2016</v>
      </c>
      <c r="B321" s="4">
        <v>42552</v>
      </c>
      <c r="C321" s="3">
        <v>2000</v>
      </c>
      <c r="D321" s="9" t="s">
        <v>100</v>
      </c>
      <c r="E321" s="6">
        <v>13474660.039999999</v>
      </c>
      <c r="F321" s="6">
        <f>13292797.4+2480424.61</f>
        <v>15773222.01</v>
      </c>
      <c r="G321" s="6">
        <f>8183303.03+363198.31</f>
        <v>8546501.3399999999</v>
      </c>
      <c r="H321" s="3">
        <v>2200</v>
      </c>
      <c r="I321" s="9" t="s">
        <v>100</v>
      </c>
      <c r="J321" s="6">
        <v>13474660.039999999</v>
      </c>
      <c r="K321" s="6">
        <f>13292797.4+2480424.61</f>
        <v>15773222.01</v>
      </c>
      <c r="L321" s="6">
        <f>8183303.03+363198.31</f>
        <v>8546501.3399999999</v>
      </c>
      <c r="M321" s="23">
        <v>314</v>
      </c>
      <c r="N321" s="7" t="s">
        <v>237</v>
      </c>
      <c r="O321" s="20" t="s">
        <v>245</v>
      </c>
      <c r="P321" s="20" t="s">
        <v>245</v>
      </c>
      <c r="Q321" s="20" t="s">
        <v>245</v>
      </c>
      <c r="R321" s="21">
        <v>42653</v>
      </c>
      <c r="S321" s="22" t="s">
        <v>246</v>
      </c>
      <c r="T321" s="22">
        <v>2016</v>
      </c>
      <c r="U321" s="21">
        <v>42643</v>
      </c>
      <c r="V321" s="22"/>
    </row>
    <row r="322" spans="1:22" ht="19.5" customHeight="1" x14ac:dyDescent="0.3">
      <c r="A322" s="3">
        <v>2016</v>
      </c>
      <c r="B322" s="4">
        <v>42552</v>
      </c>
      <c r="C322" s="3">
        <v>2000</v>
      </c>
      <c r="D322" s="9" t="s">
        <v>101</v>
      </c>
      <c r="E322" s="6">
        <v>17079.2</v>
      </c>
      <c r="F322" s="6">
        <f>142232.18+719978.28</f>
        <v>862210.46</v>
      </c>
      <c r="G322" s="6">
        <f>9373.82+719978.28</f>
        <v>729352.1</v>
      </c>
      <c r="H322" s="3">
        <v>2200</v>
      </c>
      <c r="I322" s="9" t="s">
        <v>101</v>
      </c>
      <c r="J322" s="6">
        <v>17079.2</v>
      </c>
      <c r="K322" s="6">
        <f>142232.18+719978.28</f>
        <v>862210.46</v>
      </c>
      <c r="L322" s="6">
        <f>9373.82+719978.28</f>
        <v>729352.1</v>
      </c>
      <c r="M322" s="19">
        <v>315</v>
      </c>
      <c r="N322" s="7" t="s">
        <v>237</v>
      </c>
      <c r="O322" s="20" t="s">
        <v>245</v>
      </c>
      <c r="P322" s="20" t="s">
        <v>245</v>
      </c>
      <c r="Q322" s="20" t="s">
        <v>245</v>
      </c>
      <c r="R322" s="21">
        <v>42653</v>
      </c>
      <c r="S322" s="22" t="s">
        <v>246</v>
      </c>
      <c r="T322" s="22">
        <v>2016</v>
      </c>
      <c r="U322" s="21">
        <v>42643</v>
      </c>
      <c r="V322" s="22"/>
    </row>
    <row r="323" spans="1:22" ht="19.5" customHeight="1" x14ac:dyDescent="0.3">
      <c r="A323" s="3">
        <v>2016</v>
      </c>
      <c r="B323" s="4">
        <v>42552</v>
      </c>
      <c r="C323" s="3">
        <v>2000</v>
      </c>
      <c r="D323" s="7" t="s">
        <v>102</v>
      </c>
      <c r="E323" s="6">
        <v>1650</v>
      </c>
      <c r="F323" s="6">
        <v>1650</v>
      </c>
      <c r="G323" s="6">
        <v>1566</v>
      </c>
      <c r="H323" s="3">
        <v>2300</v>
      </c>
      <c r="I323" s="7" t="s">
        <v>102</v>
      </c>
      <c r="J323" s="6">
        <v>1650</v>
      </c>
      <c r="K323" s="6">
        <v>1650</v>
      </c>
      <c r="L323" s="6">
        <v>1566</v>
      </c>
      <c r="M323" s="23">
        <v>316</v>
      </c>
      <c r="N323" s="7" t="s">
        <v>237</v>
      </c>
      <c r="O323" s="20" t="s">
        <v>245</v>
      </c>
      <c r="P323" s="20" t="s">
        <v>245</v>
      </c>
      <c r="Q323" s="20" t="s">
        <v>245</v>
      </c>
      <c r="R323" s="21">
        <v>42653</v>
      </c>
      <c r="S323" s="22" t="s">
        <v>246</v>
      </c>
      <c r="T323" s="22">
        <v>2016</v>
      </c>
      <c r="U323" s="21">
        <v>42643</v>
      </c>
      <c r="V323" s="22"/>
    </row>
    <row r="324" spans="1:22" ht="19.5" customHeight="1" x14ac:dyDescent="0.3">
      <c r="A324" s="3">
        <v>2016</v>
      </c>
      <c r="B324" s="4">
        <v>42552</v>
      </c>
      <c r="C324" s="3">
        <v>2000</v>
      </c>
      <c r="D324" s="7" t="s">
        <v>103</v>
      </c>
      <c r="E324" s="6">
        <v>0</v>
      </c>
      <c r="F324" s="6">
        <v>132437</v>
      </c>
      <c r="G324" s="6">
        <v>58941.33</v>
      </c>
      <c r="H324" s="3">
        <v>2300</v>
      </c>
      <c r="I324" s="7" t="s">
        <v>103</v>
      </c>
      <c r="J324" s="6">
        <v>0</v>
      </c>
      <c r="K324" s="6">
        <v>132437</v>
      </c>
      <c r="L324" s="6">
        <v>58941.33</v>
      </c>
      <c r="M324" s="19">
        <v>317</v>
      </c>
      <c r="N324" s="7" t="s">
        <v>237</v>
      </c>
      <c r="O324" s="20" t="s">
        <v>245</v>
      </c>
      <c r="P324" s="20" t="s">
        <v>245</v>
      </c>
      <c r="Q324" s="20" t="s">
        <v>245</v>
      </c>
      <c r="R324" s="21">
        <v>42653</v>
      </c>
      <c r="S324" s="22" t="s">
        <v>246</v>
      </c>
      <c r="T324" s="22">
        <v>2016</v>
      </c>
      <c r="U324" s="21">
        <v>42643</v>
      </c>
      <c r="V324" s="22"/>
    </row>
    <row r="325" spans="1:22" ht="19.5" customHeight="1" x14ac:dyDescent="0.3">
      <c r="A325" s="3">
        <v>2016</v>
      </c>
      <c r="B325" s="4">
        <v>42552</v>
      </c>
      <c r="C325" s="3">
        <v>2000</v>
      </c>
      <c r="D325" s="7" t="s">
        <v>104</v>
      </c>
      <c r="E325" s="6">
        <v>470800</v>
      </c>
      <c r="F325" s="6">
        <f>406000+15185.04</f>
        <v>421185.04</v>
      </c>
      <c r="G325" s="6">
        <v>248318.52</v>
      </c>
      <c r="H325" s="3">
        <v>2300</v>
      </c>
      <c r="I325" s="7" t="s">
        <v>104</v>
      </c>
      <c r="J325" s="6">
        <v>470800</v>
      </c>
      <c r="K325" s="6">
        <f>406000+15185.04</f>
        <v>421185.04</v>
      </c>
      <c r="L325" s="6">
        <v>248318.52</v>
      </c>
      <c r="M325" s="23">
        <v>318</v>
      </c>
      <c r="N325" s="7" t="s">
        <v>237</v>
      </c>
      <c r="O325" s="20" t="s">
        <v>245</v>
      </c>
      <c r="P325" s="20" t="s">
        <v>245</v>
      </c>
      <c r="Q325" s="20" t="s">
        <v>245</v>
      </c>
      <c r="R325" s="21">
        <v>42653</v>
      </c>
      <c r="S325" s="22" t="s">
        <v>246</v>
      </c>
      <c r="T325" s="22">
        <v>2016</v>
      </c>
      <c r="U325" s="21">
        <v>42643</v>
      </c>
      <c r="V325" s="22"/>
    </row>
    <row r="326" spans="1:22" ht="19.5" customHeight="1" x14ac:dyDescent="0.3">
      <c r="A326" s="3">
        <v>2016</v>
      </c>
      <c r="B326" s="4">
        <v>42552</v>
      </c>
      <c r="C326" s="3">
        <v>2000</v>
      </c>
      <c r="D326" s="7" t="s">
        <v>216</v>
      </c>
      <c r="E326" s="6">
        <v>0</v>
      </c>
      <c r="F326" s="6">
        <v>18403.59</v>
      </c>
      <c r="G326" s="6">
        <v>0</v>
      </c>
      <c r="H326" s="3">
        <v>2300</v>
      </c>
      <c r="I326" s="7" t="s">
        <v>216</v>
      </c>
      <c r="J326" s="6">
        <v>0</v>
      </c>
      <c r="K326" s="6">
        <v>18403.59</v>
      </c>
      <c r="L326" s="6">
        <v>0</v>
      </c>
      <c r="M326" s="19">
        <v>319</v>
      </c>
      <c r="N326" s="7" t="s">
        <v>237</v>
      </c>
      <c r="O326" s="20" t="s">
        <v>245</v>
      </c>
      <c r="P326" s="20" t="s">
        <v>245</v>
      </c>
      <c r="Q326" s="20" t="s">
        <v>245</v>
      </c>
      <c r="R326" s="21">
        <v>42653</v>
      </c>
      <c r="S326" s="22" t="s">
        <v>246</v>
      </c>
      <c r="T326" s="22">
        <v>2016</v>
      </c>
      <c r="U326" s="21">
        <v>42643</v>
      </c>
      <c r="V326" s="22"/>
    </row>
    <row r="327" spans="1:22" ht="19.5" customHeight="1" x14ac:dyDescent="0.3">
      <c r="A327" s="3">
        <v>2016</v>
      </c>
      <c r="B327" s="4">
        <v>42552</v>
      </c>
      <c r="C327" s="3">
        <v>2000</v>
      </c>
      <c r="D327" s="7" t="s">
        <v>105</v>
      </c>
      <c r="E327" s="6">
        <v>102000</v>
      </c>
      <c r="F327" s="6">
        <v>15608</v>
      </c>
      <c r="G327" s="6">
        <v>0</v>
      </c>
      <c r="H327" s="3">
        <v>2300</v>
      </c>
      <c r="I327" s="7" t="s">
        <v>105</v>
      </c>
      <c r="J327" s="6">
        <v>102000</v>
      </c>
      <c r="K327" s="6">
        <v>15608</v>
      </c>
      <c r="L327" s="6">
        <v>0</v>
      </c>
      <c r="M327" s="23">
        <v>320</v>
      </c>
      <c r="N327" s="7" t="s">
        <v>237</v>
      </c>
      <c r="O327" s="20" t="s">
        <v>245</v>
      </c>
      <c r="P327" s="20" t="s">
        <v>245</v>
      </c>
      <c r="Q327" s="20" t="s">
        <v>245</v>
      </c>
      <c r="R327" s="21">
        <v>42653</v>
      </c>
      <c r="S327" s="22" t="s">
        <v>246</v>
      </c>
      <c r="T327" s="22">
        <v>2016</v>
      </c>
      <c r="U327" s="21">
        <v>42643</v>
      </c>
      <c r="V327" s="22"/>
    </row>
    <row r="328" spans="1:22" ht="19.5" customHeight="1" x14ac:dyDescent="0.3">
      <c r="A328" s="3">
        <v>2016</v>
      </c>
      <c r="B328" s="4">
        <v>42552</v>
      </c>
      <c r="C328" s="3">
        <v>2000</v>
      </c>
      <c r="D328" s="7" t="s">
        <v>106</v>
      </c>
      <c r="E328" s="6">
        <v>0</v>
      </c>
      <c r="F328" s="6">
        <v>41470</v>
      </c>
      <c r="G328" s="6">
        <v>41470</v>
      </c>
      <c r="H328" s="3">
        <v>2400</v>
      </c>
      <c r="I328" s="7" t="s">
        <v>106</v>
      </c>
      <c r="J328" s="6">
        <v>0</v>
      </c>
      <c r="K328" s="6">
        <v>41470</v>
      </c>
      <c r="L328" s="6">
        <v>41470</v>
      </c>
      <c r="M328" s="19">
        <v>321</v>
      </c>
      <c r="N328" s="7" t="s">
        <v>237</v>
      </c>
      <c r="O328" s="20" t="s">
        <v>245</v>
      </c>
      <c r="P328" s="20" t="s">
        <v>245</v>
      </c>
      <c r="Q328" s="20" t="s">
        <v>245</v>
      </c>
      <c r="R328" s="21">
        <v>42653</v>
      </c>
      <c r="S328" s="22" t="s">
        <v>246</v>
      </c>
      <c r="T328" s="22">
        <v>2016</v>
      </c>
      <c r="U328" s="21">
        <v>42643</v>
      </c>
      <c r="V328" s="22"/>
    </row>
    <row r="329" spans="1:22" ht="19.5" customHeight="1" x14ac:dyDescent="0.3">
      <c r="A329" s="3">
        <v>2016</v>
      </c>
      <c r="B329" s="4">
        <v>42552</v>
      </c>
      <c r="C329" s="3">
        <v>2000</v>
      </c>
      <c r="D329" s="7" t="s">
        <v>107</v>
      </c>
      <c r="E329" s="6">
        <v>32500</v>
      </c>
      <c r="F329" s="6">
        <f>9246.88+50403.22</f>
        <v>59650.1</v>
      </c>
      <c r="G329" s="6">
        <f>4246.88+32803.22</f>
        <v>37050.1</v>
      </c>
      <c r="H329" s="3">
        <v>2400</v>
      </c>
      <c r="I329" s="7" t="s">
        <v>107</v>
      </c>
      <c r="J329" s="6">
        <v>32500</v>
      </c>
      <c r="K329" s="6">
        <f>9246.88+50403.22</f>
        <v>59650.1</v>
      </c>
      <c r="L329" s="6">
        <f>4246.88+32803.22</f>
        <v>37050.1</v>
      </c>
      <c r="M329" s="23">
        <v>322</v>
      </c>
      <c r="N329" s="7" t="s">
        <v>237</v>
      </c>
      <c r="O329" s="20" t="s">
        <v>245</v>
      </c>
      <c r="P329" s="20" t="s">
        <v>245</v>
      </c>
      <c r="Q329" s="20" t="s">
        <v>245</v>
      </c>
      <c r="R329" s="21">
        <v>42653</v>
      </c>
      <c r="S329" s="22" t="s">
        <v>246</v>
      </c>
      <c r="T329" s="22">
        <v>2016</v>
      </c>
      <c r="U329" s="21">
        <v>42643</v>
      </c>
      <c r="V329" s="22"/>
    </row>
    <row r="330" spans="1:22" ht="19.5" customHeight="1" x14ac:dyDescent="0.3">
      <c r="A330" s="3">
        <v>2016</v>
      </c>
      <c r="B330" s="4">
        <v>42552</v>
      </c>
      <c r="C330" s="3">
        <v>2000</v>
      </c>
      <c r="D330" s="7" t="s">
        <v>108</v>
      </c>
      <c r="E330" s="6">
        <v>1000</v>
      </c>
      <c r="F330" s="6">
        <f>18470</f>
        <v>18470</v>
      </c>
      <c r="G330" s="6">
        <v>991</v>
      </c>
      <c r="H330" s="3">
        <v>2400</v>
      </c>
      <c r="I330" s="7" t="s">
        <v>108</v>
      </c>
      <c r="J330" s="6">
        <v>1000</v>
      </c>
      <c r="K330" s="6">
        <f>18470</f>
        <v>18470</v>
      </c>
      <c r="L330" s="6">
        <v>991</v>
      </c>
      <c r="M330" s="19">
        <v>323</v>
      </c>
      <c r="N330" s="7" t="s">
        <v>237</v>
      </c>
      <c r="O330" s="20" t="s">
        <v>245</v>
      </c>
      <c r="P330" s="20" t="s">
        <v>245</v>
      </c>
      <c r="Q330" s="20" t="s">
        <v>245</v>
      </c>
      <c r="R330" s="21">
        <v>42653</v>
      </c>
      <c r="S330" s="22" t="s">
        <v>246</v>
      </c>
      <c r="T330" s="22">
        <v>2016</v>
      </c>
      <c r="U330" s="21">
        <v>42643</v>
      </c>
      <c r="V330" s="22"/>
    </row>
    <row r="331" spans="1:22" ht="19.5" customHeight="1" x14ac:dyDescent="0.3">
      <c r="A331" s="3">
        <v>2016</v>
      </c>
      <c r="B331" s="4">
        <v>42552</v>
      </c>
      <c r="C331" s="3">
        <v>2000</v>
      </c>
      <c r="D331" s="7" t="s">
        <v>109</v>
      </c>
      <c r="E331" s="6">
        <v>21000</v>
      </c>
      <c r="F331" s="6">
        <f>6475.54+28190.32</f>
        <v>34665.86</v>
      </c>
      <c r="G331" s="6">
        <f>1475.54+28190.32</f>
        <v>29665.86</v>
      </c>
      <c r="H331" s="3">
        <v>2400</v>
      </c>
      <c r="I331" s="7" t="s">
        <v>109</v>
      </c>
      <c r="J331" s="6">
        <v>21000</v>
      </c>
      <c r="K331" s="6">
        <f>6475.54+28190.32</f>
        <v>34665.86</v>
      </c>
      <c r="L331" s="6">
        <f>1475.54+28190.32</f>
        <v>29665.86</v>
      </c>
      <c r="M331" s="23">
        <v>324</v>
      </c>
      <c r="N331" s="7" t="s">
        <v>237</v>
      </c>
      <c r="O331" s="20" t="s">
        <v>245</v>
      </c>
      <c r="P331" s="20" t="s">
        <v>245</v>
      </c>
      <c r="Q331" s="20" t="s">
        <v>245</v>
      </c>
      <c r="R331" s="21">
        <v>42653</v>
      </c>
      <c r="S331" s="22" t="s">
        <v>246</v>
      </c>
      <c r="T331" s="22">
        <v>2016</v>
      </c>
      <c r="U331" s="21">
        <v>42643</v>
      </c>
      <c r="V331" s="22"/>
    </row>
    <row r="332" spans="1:22" ht="19.5" customHeight="1" x14ac:dyDescent="0.3">
      <c r="A332" s="3">
        <v>2016</v>
      </c>
      <c r="B332" s="4">
        <v>42552</v>
      </c>
      <c r="C332" s="3">
        <v>2000</v>
      </c>
      <c r="D332" s="7" t="s">
        <v>110</v>
      </c>
      <c r="E332" s="6">
        <v>10000</v>
      </c>
      <c r="F332" s="6">
        <v>2000</v>
      </c>
      <c r="G332" s="6">
        <v>2000</v>
      </c>
      <c r="H332" s="3">
        <v>2400</v>
      </c>
      <c r="I332" s="7" t="s">
        <v>110</v>
      </c>
      <c r="J332" s="6">
        <v>10000</v>
      </c>
      <c r="K332" s="6">
        <v>2000</v>
      </c>
      <c r="L332" s="6">
        <v>2000</v>
      </c>
      <c r="M332" s="19">
        <v>325</v>
      </c>
      <c r="N332" s="7" t="s">
        <v>237</v>
      </c>
      <c r="O332" s="20" t="s">
        <v>245</v>
      </c>
      <c r="P332" s="20" t="s">
        <v>245</v>
      </c>
      <c r="Q332" s="20" t="s">
        <v>245</v>
      </c>
      <c r="R332" s="21">
        <v>42653</v>
      </c>
      <c r="S332" s="22" t="s">
        <v>246</v>
      </c>
      <c r="T332" s="22">
        <v>2016</v>
      </c>
      <c r="U332" s="21">
        <v>42643</v>
      </c>
      <c r="V332" s="22"/>
    </row>
    <row r="333" spans="1:22" ht="19.5" customHeight="1" x14ac:dyDescent="0.3">
      <c r="A333" s="3">
        <v>2016</v>
      </c>
      <c r="B333" s="4">
        <v>42552</v>
      </c>
      <c r="C333" s="3">
        <v>2000</v>
      </c>
      <c r="D333" s="7" t="s">
        <v>111</v>
      </c>
      <c r="E333" s="6">
        <v>44562</v>
      </c>
      <c r="F333" s="6">
        <f>299302.22+2299684.77</f>
        <v>2598986.9900000002</v>
      </c>
      <c r="G333" s="6">
        <f>71029.51+956938.72</f>
        <v>1027968.23</v>
      </c>
      <c r="H333" s="3">
        <v>2400</v>
      </c>
      <c r="I333" s="7" t="s">
        <v>111</v>
      </c>
      <c r="J333" s="6">
        <v>44562</v>
      </c>
      <c r="K333" s="6">
        <f>299302.22+2299684.77</f>
        <v>2598986.9900000002</v>
      </c>
      <c r="L333" s="6">
        <f>71029.51+956938.72</f>
        <v>1027968.23</v>
      </c>
      <c r="M333" s="23">
        <v>326</v>
      </c>
      <c r="N333" s="7" t="s">
        <v>237</v>
      </c>
      <c r="O333" s="20" t="s">
        <v>245</v>
      </c>
      <c r="P333" s="20" t="s">
        <v>245</v>
      </c>
      <c r="Q333" s="20" t="s">
        <v>245</v>
      </c>
      <c r="R333" s="21">
        <v>42653</v>
      </c>
      <c r="S333" s="22" t="s">
        <v>246</v>
      </c>
      <c r="T333" s="22">
        <v>2016</v>
      </c>
      <c r="U333" s="21">
        <v>42643</v>
      </c>
      <c r="V333" s="22"/>
    </row>
    <row r="334" spans="1:22" ht="19.5" customHeight="1" x14ac:dyDescent="0.3">
      <c r="A334" s="3">
        <v>2016</v>
      </c>
      <c r="B334" s="4">
        <v>42552</v>
      </c>
      <c r="C334" s="3">
        <v>2000</v>
      </c>
      <c r="D334" s="7" t="s">
        <v>112</v>
      </c>
      <c r="E334" s="6">
        <v>27105</v>
      </c>
      <c r="F334" s="6">
        <f>28156.71+337868.08</f>
        <v>366024.79000000004</v>
      </c>
      <c r="G334" s="6">
        <f>13156.71+328023.76</f>
        <v>341180.47000000003</v>
      </c>
      <c r="H334" s="3">
        <v>2400</v>
      </c>
      <c r="I334" s="7" t="s">
        <v>112</v>
      </c>
      <c r="J334" s="6">
        <v>27105</v>
      </c>
      <c r="K334" s="6">
        <f>28156.71+337868.08</f>
        <v>366024.79000000004</v>
      </c>
      <c r="L334" s="6">
        <f>13156.71+328023.76</f>
        <v>341180.47000000003</v>
      </c>
      <c r="M334" s="19">
        <v>327</v>
      </c>
      <c r="N334" s="7" t="s">
        <v>237</v>
      </c>
      <c r="O334" s="20" t="s">
        <v>245</v>
      </c>
      <c r="P334" s="20" t="s">
        <v>245</v>
      </c>
      <c r="Q334" s="20" t="s">
        <v>245</v>
      </c>
      <c r="R334" s="21">
        <v>42653</v>
      </c>
      <c r="S334" s="22" t="s">
        <v>246</v>
      </c>
      <c r="T334" s="22">
        <v>2016</v>
      </c>
      <c r="U334" s="21">
        <v>42643</v>
      </c>
      <c r="V334" s="22"/>
    </row>
    <row r="335" spans="1:22" ht="19.5" customHeight="1" x14ac:dyDescent="0.3">
      <c r="A335" s="3">
        <v>2016</v>
      </c>
      <c r="B335" s="4">
        <v>42552</v>
      </c>
      <c r="C335" s="3">
        <v>2000</v>
      </c>
      <c r="D335" s="7" t="s">
        <v>113</v>
      </c>
      <c r="E335" s="6">
        <v>437000</v>
      </c>
      <c r="F335" s="6">
        <f>319919.27+113030.8</f>
        <v>432950.07</v>
      </c>
      <c r="G335" s="6">
        <f>980.69+3184.2</f>
        <v>4164.8899999999994</v>
      </c>
      <c r="H335" s="3">
        <v>2400</v>
      </c>
      <c r="I335" s="7" t="s">
        <v>113</v>
      </c>
      <c r="J335" s="6">
        <v>437000</v>
      </c>
      <c r="K335" s="6">
        <f>319919.27+113030.8</f>
        <v>432950.07</v>
      </c>
      <c r="L335" s="6">
        <f>980.69+3184.2</f>
        <v>4164.8899999999994</v>
      </c>
      <c r="M335" s="23">
        <v>328</v>
      </c>
      <c r="N335" s="7" t="s">
        <v>237</v>
      </c>
      <c r="O335" s="20" t="s">
        <v>245</v>
      </c>
      <c r="P335" s="20" t="s">
        <v>245</v>
      </c>
      <c r="Q335" s="20" t="s">
        <v>245</v>
      </c>
      <c r="R335" s="21">
        <v>42653</v>
      </c>
      <c r="S335" s="22" t="s">
        <v>246</v>
      </c>
      <c r="T335" s="22">
        <v>2016</v>
      </c>
      <c r="U335" s="21">
        <v>42643</v>
      </c>
      <c r="V335" s="22"/>
    </row>
    <row r="336" spans="1:22" ht="19.5" customHeight="1" x14ac:dyDescent="0.3">
      <c r="A336" s="3">
        <v>2016</v>
      </c>
      <c r="B336" s="4">
        <v>42552</v>
      </c>
      <c r="C336" s="3">
        <v>2000</v>
      </c>
      <c r="D336" s="7" t="s">
        <v>114</v>
      </c>
      <c r="E336" s="6">
        <v>4928.8</v>
      </c>
      <c r="F336" s="6">
        <f>20161.98+172204.14</f>
        <v>192366.12000000002</v>
      </c>
      <c r="G336" s="6">
        <f>19428.98+172204.14</f>
        <v>191633.12000000002</v>
      </c>
      <c r="H336" s="3">
        <v>2400</v>
      </c>
      <c r="I336" s="7" t="s">
        <v>114</v>
      </c>
      <c r="J336" s="6">
        <v>4928.8</v>
      </c>
      <c r="K336" s="6">
        <f>20161.98+172204.14</f>
        <v>192366.12000000002</v>
      </c>
      <c r="L336" s="6">
        <f>19428.98+172204.14</f>
        <v>191633.12000000002</v>
      </c>
      <c r="M336" s="19">
        <v>329</v>
      </c>
      <c r="N336" s="7" t="s">
        <v>237</v>
      </c>
      <c r="O336" s="20" t="s">
        <v>245</v>
      </c>
      <c r="P336" s="20" t="s">
        <v>245</v>
      </c>
      <c r="Q336" s="20" t="s">
        <v>245</v>
      </c>
      <c r="R336" s="21">
        <v>42653</v>
      </c>
      <c r="S336" s="22" t="s">
        <v>246</v>
      </c>
      <c r="T336" s="22">
        <v>2016</v>
      </c>
      <c r="U336" s="21">
        <v>42643</v>
      </c>
      <c r="V336" s="22"/>
    </row>
    <row r="337" spans="1:22" ht="19.5" customHeight="1" x14ac:dyDescent="0.3">
      <c r="A337" s="3">
        <v>2016</v>
      </c>
      <c r="B337" s="4">
        <v>42552</v>
      </c>
      <c r="C337" s="3">
        <v>2000</v>
      </c>
      <c r="D337" s="9" t="s">
        <v>115</v>
      </c>
      <c r="E337" s="6">
        <v>114335.08</v>
      </c>
      <c r="F337" s="6">
        <f>338500.08+1218516.61</f>
        <v>1557016.6900000002</v>
      </c>
      <c r="G337" s="6">
        <f>37375.1+834689.8</f>
        <v>872064.9</v>
      </c>
      <c r="H337" s="3">
        <v>2500</v>
      </c>
      <c r="I337" s="9" t="s">
        <v>115</v>
      </c>
      <c r="J337" s="6">
        <v>114335.08</v>
      </c>
      <c r="K337" s="6">
        <f>338500.08+1218516.61</f>
        <v>1557016.6900000002</v>
      </c>
      <c r="L337" s="6">
        <f>37375.1+834689.8</f>
        <v>872064.9</v>
      </c>
      <c r="M337" s="23">
        <v>330</v>
      </c>
      <c r="N337" s="7" t="s">
        <v>237</v>
      </c>
      <c r="O337" s="20" t="s">
        <v>245</v>
      </c>
      <c r="P337" s="20" t="s">
        <v>245</v>
      </c>
      <c r="Q337" s="20" t="s">
        <v>245</v>
      </c>
      <c r="R337" s="21">
        <v>42653</v>
      </c>
      <c r="S337" s="22" t="s">
        <v>246</v>
      </c>
      <c r="T337" s="22">
        <v>2016</v>
      </c>
      <c r="U337" s="21">
        <v>42643</v>
      </c>
      <c r="V337" s="22"/>
    </row>
    <row r="338" spans="1:22" ht="19.5" customHeight="1" x14ac:dyDescent="0.3">
      <c r="A338" s="3">
        <v>2016</v>
      </c>
      <c r="B338" s="4">
        <v>42552</v>
      </c>
      <c r="C338" s="3">
        <v>2000</v>
      </c>
      <c r="D338" s="9" t="s">
        <v>116</v>
      </c>
      <c r="E338" s="6">
        <v>50000</v>
      </c>
      <c r="F338" s="6">
        <v>248227.62</v>
      </c>
      <c r="G338" s="6">
        <v>1185.6400000000001</v>
      </c>
      <c r="H338" s="3">
        <v>2500</v>
      </c>
      <c r="I338" s="9" t="s">
        <v>116</v>
      </c>
      <c r="J338" s="6">
        <v>50000</v>
      </c>
      <c r="K338" s="6">
        <v>248227.62</v>
      </c>
      <c r="L338" s="6">
        <v>1185.6400000000001</v>
      </c>
      <c r="M338" s="19">
        <v>331</v>
      </c>
      <c r="N338" s="7" t="s">
        <v>237</v>
      </c>
      <c r="O338" s="20" t="s">
        <v>245</v>
      </c>
      <c r="P338" s="20" t="s">
        <v>245</v>
      </c>
      <c r="Q338" s="20" t="s">
        <v>245</v>
      </c>
      <c r="R338" s="21">
        <v>42653</v>
      </c>
      <c r="S338" s="22" t="s">
        <v>246</v>
      </c>
      <c r="T338" s="22">
        <v>2016</v>
      </c>
      <c r="U338" s="21">
        <v>42643</v>
      </c>
      <c r="V338" s="22"/>
    </row>
    <row r="339" spans="1:22" ht="19.5" customHeight="1" x14ac:dyDescent="0.3">
      <c r="A339" s="3">
        <v>2016</v>
      </c>
      <c r="B339" s="4">
        <v>42552</v>
      </c>
      <c r="C339" s="3">
        <v>2000</v>
      </c>
      <c r="D339" s="9" t="s">
        <v>117</v>
      </c>
      <c r="E339" s="6">
        <v>111209.25</v>
      </c>
      <c r="F339" s="6">
        <f>130279+334.08</f>
        <v>130613.08</v>
      </c>
      <c r="G339" s="6">
        <f>21152.54+334.08</f>
        <v>21486.620000000003</v>
      </c>
      <c r="H339" s="3">
        <v>2500</v>
      </c>
      <c r="I339" s="9" t="s">
        <v>117</v>
      </c>
      <c r="J339" s="6">
        <v>111209.25</v>
      </c>
      <c r="K339" s="6">
        <f>130279+334.08</f>
        <v>130613.08</v>
      </c>
      <c r="L339" s="6">
        <f>21152.54+334.08</f>
        <v>21486.620000000003</v>
      </c>
      <c r="M339" s="23">
        <v>332</v>
      </c>
      <c r="N339" s="7" t="s">
        <v>237</v>
      </c>
      <c r="O339" s="20" t="s">
        <v>245</v>
      </c>
      <c r="P339" s="20" t="s">
        <v>245</v>
      </c>
      <c r="Q339" s="20" t="s">
        <v>245</v>
      </c>
      <c r="R339" s="21">
        <v>42653</v>
      </c>
      <c r="S339" s="22" t="s">
        <v>246</v>
      </c>
      <c r="T339" s="22">
        <v>2016</v>
      </c>
      <c r="U339" s="21">
        <v>42643</v>
      </c>
      <c r="V339" s="22"/>
    </row>
    <row r="340" spans="1:22" ht="19.5" customHeight="1" x14ac:dyDescent="0.3">
      <c r="A340" s="3">
        <v>2016</v>
      </c>
      <c r="B340" s="4">
        <v>42552</v>
      </c>
      <c r="C340" s="3">
        <v>2000</v>
      </c>
      <c r="D340" s="9" t="s">
        <v>118</v>
      </c>
      <c r="E340" s="6">
        <v>1910543.49</v>
      </c>
      <c r="F340" s="6">
        <f>1531029.26+1895907.59</f>
        <v>3426936.85</v>
      </c>
      <c r="G340" s="6">
        <f>185273.1+384208.57</f>
        <v>569481.67000000004</v>
      </c>
      <c r="H340" s="3">
        <v>2500</v>
      </c>
      <c r="I340" s="9" t="s">
        <v>118</v>
      </c>
      <c r="J340" s="6">
        <v>1910543.49</v>
      </c>
      <c r="K340" s="6">
        <f>1531029.26+1895907.59</f>
        <v>3426936.85</v>
      </c>
      <c r="L340" s="6">
        <f>185273.1+384208.57</f>
        <v>569481.67000000004</v>
      </c>
      <c r="M340" s="19">
        <v>333</v>
      </c>
      <c r="N340" s="7" t="s">
        <v>237</v>
      </c>
      <c r="O340" s="20" t="s">
        <v>245</v>
      </c>
      <c r="P340" s="20" t="s">
        <v>245</v>
      </c>
      <c r="Q340" s="20" t="s">
        <v>245</v>
      </c>
      <c r="R340" s="21">
        <v>42653</v>
      </c>
      <c r="S340" s="22" t="s">
        <v>246</v>
      </c>
      <c r="T340" s="22">
        <v>2016</v>
      </c>
      <c r="U340" s="21">
        <v>42643</v>
      </c>
      <c r="V340" s="22"/>
    </row>
    <row r="341" spans="1:22" ht="19.5" customHeight="1" x14ac:dyDescent="0.3">
      <c r="A341" s="3">
        <v>2016</v>
      </c>
      <c r="B341" s="4">
        <v>42552</v>
      </c>
      <c r="C341" s="3">
        <v>2000</v>
      </c>
      <c r="D341" s="9" t="s">
        <v>119</v>
      </c>
      <c r="E341" s="6">
        <v>27600</v>
      </c>
      <c r="F341" s="6">
        <f>24721.69+567743.11</f>
        <v>592464.79999999993</v>
      </c>
      <c r="G341" s="6">
        <f>1841.69+265336.77</f>
        <v>267178.46000000002</v>
      </c>
      <c r="H341" s="3">
        <v>2500</v>
      </c>
      <c r="I341" s="9" t="s">
        <v>119</v>
      </c>
      <c r="J341" s="6">
        <v>27600</v>
      </c>
      <c r="K341" s="6">
        <f>24721.69+567743.11</f>
        <v>592464.79999999993</v>
      </c>
      <c r="L341" s="6">
        <f>1841.69+265336.77</f>
        <v>267178.46000000002</v>
      </c>
      <c r="M341" s="23">
        <v>334</v>
      </c>
      <c r="N341" s="7" t="s">
        <v>237</v>
      </c>
      <c r="O341" s="20" t="s">
        <v>245</v>
      </c>
      <c r="P341" s="20" t="s">
        <v>245</v>
      </c>
      <c r="Q341" s="20" t="s">
        <v>245</v>
      </c>
      <c r="R341" s="21">
        <v>42653</v>
      </c>
      <c r="S341" s="22" t="s">
        <v>246</v>
      </c>
      <c r="T341" s="22">
        <v>2016</v>
      </c>
      <c r="U341" s="21">
        <v>42643</v>
      </c>
      <c r="V341" s="22"/>
    </row>
    <row r="342" spans="1:22" ht="19.5" customHeight="1" x14ac:dyDescent="0.3">
      <c r="A342" s="3">
        <v>2016</v>
      </c>
      <c r="B342" s="4">
        <v>42552</v>
      </c>
      <c r="C342" s="3">
        <v>2000</v>
      </c>
      <c r="D342" s="7" t="s">
        <v>120</v>
      </c>
      <c r="E342" s="6">
        <v>2692.94</v>
      </c>
      <c r="F342" s="6">
        <f>5970.14+142172.55</f>
        <v>148142.69</v>
      </c>
      <c r="G342" s="6">
        <f>777.2+141291.37</f>
        <v>142068.57</v>
      </c>
      <c r="H342" s="3">
        <v>2500</v>
      </c>
      <c r="I342" s="7" t="s">
        <v>120</v>
      </c>
      <c r="J342" s="6">
        <v>2692.94</v>
      </c>
      <c r="K342" s="6">
        <f>5970.14+142172.55</f>
        <v>148142.69</v>
      </c>
      <c r="L342" s="6">
        <f>777.2+141291.37</f>
        <v>142068.57</v>
      </c>
      <c r="M342" s="19">
        <v>335</v>
      </c>
      <c r="N342" s="7" t="s">
        <v>237</v>
      </c>
      <c r="O342" s="20" t="s">
        <v>245</v>
      </c>
      <c r="P342" s="20" t="s">
        <v>245</v>
      </c>
      <c r="Q342" s="20" t="s">
        <v>245</v>
      </c>
      <c r="R342" s="21">
        <v>42653</v>
      </c>
      <c r="S342" s="22" t="s">
        <v>246</v>
      </c>
      <c r="T342" s="22">
        <v>2016</v>
      </c>
      <c r="U342" s="21">
        <v>42643</v>
      </c>
      <c r="V342" s="22"/>
    </row>
    <row r="343" spans="1:22" ht="19.5" customHeight="1" x14ac:dyDescent="0.3">
      <c r="A343" s="3">
        <v>2016</v>
      </c>
      <c r="B343" s="4">
        <v>42552</v>
      </c>
      <c r="C343" s="3">
        <v>2000</v>
      </c>
      <c r="D343" s="10" t="s">
        <v>121</v>
      </c>
      <c r="E343" s="6">
        <v>900000</v>
      </c>
      <c r="F343" s="6">
        <f>903281.8+46744.58</f>
        <v>950026.38</v>
      </c>
      <c r="G343" s="6">
        <f>488524.59+42568.58</f>
        <v>531093.17000000004</v>
      </c>
      <c r="H343" s="3">
        <v>2600</v>
      </c>
      <c r="I343" s="10" t="s">
        <v>121</v>
      </c>
      <c r="J343" s="6">
        <v>900000</v>
      </c>
      <c r="K343" s="6">
        <f>903281.8+46744.58</f>
        <v>950026.38</v>
      </c>
      <c r="L343" s="6">
        <f>488524.59+42568.58</f>
        <v>531093.17000000004</v>
      </c>
      <c r="M343" s="23">
        <v>336</v>
      </c>
      <c r="N343" s="7" t="s">
        <v>237</v>
      </c>
      <c r="O343" s="20" t="s">
        <v>245</v>
      </c>
      <c r="P343" s="20" t="s">
        <v>245</v>
      </c>
      <c r="Q343" s="20" t="s">
        <v>245</v>
      </c>
      <c r="R343" s="21">
        <v>42653</v>
      </c>
      <c r="S343" s="22" t="s">
        <v>246</v>
      </c>
      <c r="T343" s="22">
        <v>2016</v>
      </c>
      <c r="U343" s="21">
        <v>42643</v>
      </c>
      <c r="V343" s="22"/>
    </row>
    <row r="344" spans="1:22" ht="19.5" customHeight="1" x14ac:dyDescent="0.3">
      <c r="A344" s="3">
        <v>2016</v>
      </c>
      <c r="B344" s="4">
        <v>42552</v>
      </c>
      <c r="C344" s="3">
        <v>2000</v>
      </c>
      <c r="D344" s="10" t="s">
        <v>122</v>
      </c>
      <c r="E344" s="6">
        <v>1290000.21</v>
      </c>
      <c r="F344" s="6">
        <f>1741784.69+1214810.43</f>
        <v>2956595.12</v>
      </c>
      <c r="G344" s="6">
        <f>9380.94+344675.44</f>
        <v>354056.38</v>
      </c>
      <c r="H344" s="3">
        <v>2700</v>
      </c>
      <c r="I344" s="10" t="s">
        <v>122</v>
      </c>
      <c r="J344" s="6">
        <v>1290000.21</v>
      </c>
      <c r="K344" s="6">
        <f>1741784.69+1214810.43</f>
        <v>2956595.12</v>
      </c>
      <c r="L344" s="6">
        <f>9380.94+344675.44</f>
        <v>354056.38</v>
      </c>
      <c r="M344" s="19">
        <v>337</v>
      </c>
      <c r="N344" s="7" t="s">
        <v>237</v>
      </c>
      <c r="O344" s="20" t="s">
        <v>245</v>
      </c>
      <c r="P344" s="20" t="s">
        <v>245</v>
      </c>
      <c r="Q344" s="20" t="s">
        <v>245</v>
      </c>
      <c r="R344" s="21">
        <v>42653</v>
      </c>
      <c r="S344" s="22" t="s">
        <v>246</v>
      </c>
      <c r="T344" s="22">
        <v>2016</v>
      </c>
      <c r="U344" s="21">
        <v>42643</v>
      </c>
      <c r="V344" s="22"/>
    </row>
    <row r="345" spans="1:22" ht="19.5" customHeight="1" x14ac:dyDescent="0.3">
      <c r="A345" s="3">
        <v>2016</v>
      </c>
      <c r="B345" s="4">
        <v>42552</v>
      </c>
      <c r="C345" s="3">
        <v>2000</v>
      </c>
      <c r="D345" s="10" t="s">
        <v>123</v>
      </c>
      <c r="E345" s="6">
        <v>2593874.4</v>
      </c>
      <c r="F345" s="6">
        <f>2504003.4+1244176.08</f>
        <v>3748179.48</v>
      </c>
      <c r="G345" s="6">
        <f>2060.86+1243717.88</f>
        <v>1245778.74</v>
      </c>
      <c r="H345" s="3">
        <v>2700</v>
      </c>
      <c r="I345" s="10" t="s">
        <v>123</v>
      </c>
      <c r="J345" s="6">
        <v>2593874.4</v>
      </c>
      <c r="K345" s="6">
        <f>2504003.4+1244176.08</f>
        <v>3748179.48</v>
      </c>
      <c r="L345" s="6">
        <f>2060.86+1243717.88</f>
        <v>1245778.74</v>
      </c>
      <c r="M345" s="23">
        <v>338</v>
      </c>
      <c r="N345" s="7" t="s">
        <v>237</v>
      </c>
      <c r="O345" s="20" t="s">
        <v>245</v>
      </c>
      <c r="P345" s="20" t="s">
        <v>245</v>
      </c>
      <c r="Q345" s="20" t="s">
        <v>245</v>
      </c>
      <c r="R345" s="21">
        <v>42653</v>
      </c>
      <c r="S345" s="22" t="s">
        <v>246</v>
      </c>
      <c r="T345" s="22">
        <v>2016</v>
      </c>
      <c r="U345" s="21">
        <v>42643</v>
      </c>
      <c r="V345" s="22"/>
    </row>
    <row r="346" spans="1:22" ht="19.5" customHeight="1" x14ac:dyDescent="0.3">
      <c r="A346" s="3">
        <v>2016</v>
      </c>
      <c r="B346" s="4">
        <v>42552</v>
      </c>
      <c r="C346" s="3">
        <v>2000</v>
      </c>
      <c r="D346" s="10" t="s">
        <v>124</v>
      </c>
      <c r="E346" s="6">
        <v>530000</v>
      </c>
      <c r="F346" s="6">
        <v>51720.07</v>
      </c>
      <c r="G346" s="6">
        <v>21720.07</v>
      </c>
      <c r="H346" s="3">
        <v>2700</v>
      </c>
      <c r="I346" s="10" t="s">
        <v>124</v>
      </c>
      <c r="J346" s="6">
        <v>530000</v>
      </c>
      <c r="K346" s="6">
        <v>51720.07</v>
      </c>
      <c r="L346" s="6">
        <v>21720.07</v>
      </c>
      <c r="M346" s="19">
        <v>339</v>
      </c>
      <c r="N346" s="7" t="s">
        <v>237</v>
      </c>
      <c r="O346" s="20" t="s">
        <v>245</v>
      </c>
      <c r="P346" s="20" t="s">
        <v>245</v>
      </c>
      <c r="Q346" s="20" t="s">
        <v>245</v>
      </c>
      <c r="R346" s="21">
        <v>42653</v>
      </c>
      <c r="S346" s="22" t="s">
        <v>246</v>
      </c>
      <c r="T346" s="22">
        <v>2016</v>
      </c>
      <c r="U346" s="21">
        <v>42643</v>
      </c>
      <c r="V346" s="22"/>
    </row>
    <row r="347" spans="1:22" ht="19.5" customHeight="1" x14ac:dyDescent="0.3">
      <c r="A347" s="3">
        <v>2016</v>
      </c>
      <c r="B347" s="4">
        <v>42552</v>
      </c>
      <c r="C347" s="3">
        <v>2000</v>
      </c>
      <c r="D347" s="10" t="s">
        <v>125</v>
      </c>
      <c r="E347" s="6">
        <v>5428</v>
      </c>
      <c r="F347" s="6">
        <f>7428+429.93</f>
        <v>7857.93</v>
      </c>
      <c r="G347" s="6">
        <v>429.93</v>
      </c>
      <c r="H347" s="3">
        <v>2700</v>
      </c>
      <c r="I347" s="10" t="s">
        <v>125</v>
      </c>
      <c r="J347" s="6">
        <v>5428</v>
      </c>
      <c r="K347" s="6">
        <f>7428+429.93</f>
        <v>7857.93</v>
      </c>
      <c r="L347" s="6">
        <v>429.93</v>
      </c>
      <c r="M347" s="23">
        <v>340</v>
      </c>
      <c r="N347" s="7" t="s">
        <v>237</v>
      </c>
      <c r="O347" s="20" t="s">
        <v>245</v>
      </c>
      <c r="P347" s="20" t="s">
        <v>245</v>
      </c>
      <c r="Q347" s="20" t="s">
        <v>245</v>
      </c>
      <c r="R347" s="21">
        <v>42653</v>
      </c>
      <c r="S347" s="22" t="s">
        <v>246</v>
      </c>
      <c r="T347" s="22">
        <v>2016</v>
      </c>
      <c r="U347" s="21">
        <v>42643</v>
      </c>
      <c r="V347" s="22"/>
    </row>
    <row r="348" spans="1:22" ht="19.5" customHeight="1" x14ac:dyDescent="0.3">
      <c r="A348" s="3">
        <v>2016</v>
      </c>
      <c r="B348" s="4">
        <v>42552</v>
      </c>
      <c r="C348" s="3">
        <v>2000</v>
      </c>
      <c r="D348" s="7" t="s">
        <v>126</v>
      </c>
      <c r="E348" s="6">
        <v>21720</v>
      </c>
      <c r="F348" s="6">
        <v>0</v>
      </c>
      <c r="G348" s="6">
        <v>0</v>
      </c>
      <c r="H348" s="3">
        <v>2700</v>
      </c>
      <c r="I348" s="7" t="s">
        <v>126</v>
      </c>
      <c r="J348" s="6">
        <v>21720</v>
      </c>
      <c r="K348" s="6">
        <v>0</v>
      </c>
      <c r="L348" s="6">
        <v>0</v>
      </c>
      <c r="M348" s="19">
        <v>341</v>
      </c>
      <c r="N348" s="7" t="s">
        <v>237</v>
      </c>
      <c r="O348" s="20" t="s">
        <v>245</v>
      </c>
      <c r="P348" s="20" t="s">
        <v>245</v>
      </c>
      <c r="Q348" s="20" t="s">
        <v>245</v>
      </c>
      <c r="R348" s="21">
        <v>42653</v>
      </c>
      <c r="S348" s="22" t="s">
        <v>246</v>
      </c>
      <c r="T348" s="22">
        <v>2016</v>
      </c>
      <c r="U348" s="21">
        <v>42643</v>
      </c>
      <c r="V348" s="22"/>
    </row>
    <row r="349" spans="1:22" ht="19.5" customHeight="1" x14ac:dyDescent="0.3">
      <c r="A349" s="3">
        <v>2016</v>
      </c>
      <c r="B349" s="4">
        <v>42552</v>
      </c>
      <c r="C349" s="3">
        <v>2000</v>
      </c>
      <c r="D349" s="7" t="s">
        <v>127</v>
      </c>
      <c r="E349" s="6">
        <v>4649.8599999999997</v>
      </c>
      <c r="F349" s="6">
        <v>4649.8599999999997</v>
      </c>
      <c r="G349" s="6">
        <v>4613.32</v>
      </c>
      <c r="H349" s="3">
        <v>2800</v>
      </c>
      <c r="I349" s="7" t="s">
        <v>127</v>
      </c>
      <c r="J349" s="6">
        <v>4649.8599999999997</v>
      </c>
      <c r="K349" s="6">
        <v>4649.8599999999997</v>
      </c>
      <c r="L349" s="6">
        <v>4613.32</v>
      </c>
      <c r="M349" s="23">
        <v>342</v>
      </c>
      <c r="N349" s="7" t="s">
        <v>237</v>
      </c>
      <c r="O349" s="20" t="s">
        <v>245</v>
      </c>
      <c r="P349" s="20" t="s">
        <v>245</v>
      </c>
      <c r="Q349" s="20" t="s">
        <v>245</v>
      </c>
      <c r="R349" s="21">
        <v>42653</v>
      </c>
      <c r="S349" s="22" t="s">
        <v>246</v>
      </c>
      <c r="T349" s="22">
        <v>2016</v>
      </c>
      <c r="U349" s="21">
        <v>42643</v>
      </c>
      <c r="V349" s="22"/>
    </row>
    <row r="350" spans="1:22" ht="19.5" customHeight="1" x14ac:dyDescent="0.3">
      <c r="A350" s="3">
        <v>2016</v>
      </c>
      <c r="B350" s="4">
        <v>42552</v>
      </c>
      <c r="C350" s="3">
        <v>2000</v>
      </c>
      <c r="D350" s="10" t="s">
        <v>128</v>
      </c>
      <c r="E350" s="6">
        <v>288207</v>
      </c>
      <c r="F350" s="6">
        <f>181230.28+789584.62</f>
        <v>970814.9</v>
      </c>
      <c r="G350" s="6">
        <f>52194.69+59337.91</f>
        <v>111532.6</v>
      </c>
      <c r="H350" s="3">
        <v>2900</v>
      </c>
      <c r="I350" s="10" t="s">
        <v>128</v>
      </c>
      <c r="J350" s="6">
        <v>288207</v>
      </c>
      <c r="K350" s="6">
        <f>181230.28+789584.62</f>
        <v>970814.9</v>
      </c>
      <c r="L350" s="6">
        <f>52194.69+59337.91</f>
        <v>111532.6</v>
      </c>
      <c r="M350" s="19">
        <v>343</v>
      </c>
      <c r="N350" s="7" t="s">
        <v>237</v>
      </c>
      <c r="O350" s="20" t="s">
        <v>245</v>
      </c>
      <c r="P350" s="20" t="s">
        <v>245</v>
      </c>
      <c r="Q350" s="20" t="s">
        <v>245</v>
      </c>
      <c r="R350" s="21">
        <v>42653</v>
      </c>
      <c r="S350" s="22" t="s">
        <v>246</v>
      </c>
      <c r="T350" s="22">
        <v>2016</v>
      </c>
      <c r="U350" s="21">
        <v>42643</v>
      </c>
      <c r="V350" s="22"/>
    </row>
    <row r="351" spans="1:22" ht="19.5" customHeight="1" x14ac:dyDescent="0.3">
      <c r="A351" s="3">
        <v>2016</v>
      </c>
      <c r="B351" s="4">
        <v>42552</v>
      </c>
      <c r="C351" s="3">
        <v>2000</v>
      </c>
      <c r="D351" s="10" t="s">
        <v>129</v>
      </c>
      <c r="E351" s="6">
        <v>7400</v>
      </c>
      <c r="F351" s="6">
        <f>20840.74+280849.2</f>
        <v>301689.94</v>
      </c>
      <c r="G351" s="6">
        <f>19764.08+177268.7</f>
        <v>197032.78000000003</v>
      </c>
      <c r="H351" s="3">
        <v>2900</v>
      </c>
      <c r="I351" s="10" t="s">
        <v>129</v>
      </c>
      <c r="J351" s="6">
        <v>7400</v>
      </c>
      <c r="K351" s="6">
        <f>20840.74+280849.2</f>
        <v>301689.94</v>
      </c>
      <c r="L351" s="6">
        <f>19764.08+177268.7</f>
        <v>197032.78000000003</v>
      </c>
      <c r="M351" s="23">
        <v>344</v>
      </c>
      <c r="N351" s="7" t="s">
        <v>237</v>
      </c>
      <c r="O351" s="20" t="s">
        <v>245</v>
      </c>
      <c r="P351" s="20" t="s">
        <v>245</v>
      </c>
      <c r="Q351" s="20" t="s">
        <v>245</v>
      </c>
      <c r="R351" s="21">
        <v>42653</v>
      </c>
      <c r="S351" s="22" t="s">
        <v>246</v>
      </c>
      <c r="T351" s="22">
        <v>2016</v>
      </c>
      <c r="U351" s="21">
        <v>42643</v>
      </c>
      <c r="V351" s="22"/>
    </row>
    <row r="352" spans="1:22" ht="19.5" customHeight="1" x14ac:dyDescent="0.3">
      <c r="A352" s="3">
        <v>2016</v>
      </c>
      <c r="B352" s="4">
        <v>42552</v>
      </c>
      <c r="C352" s="3">
        <v>2000</v>
      </c>
      <c r="D352" s="10" t="s">
        <v>130</v>
      </c>
      <c r="E352" s="6">
        <v>19310</v>
      </c>
      <c r="F352" s="6">
        <f>32792.33+78262.97</f>
        <v>111055.3</v>
      </c>
      <c r="G352" s="6">
        <f>9770.68+16332.8</f>
        <v>26103.48</v>
      </c>
      <c r="H352" s="3">
        <v>2900</v>
      </c>
      <c r="I352" s="10" t="s">
        <v>130</v>
      </c>
      <c r="J352" s="6">
        <v>19310</v>
      </c>
      <c r="K352" s="6">
        <f>32792.33+78262.97</f>
        <v>111055.3</v>
      </c>
      <c r="L352" s="6">
        <f>9770.68+16332.8</f>
        <v>26103.48</v>
      </c>
      <c r="M352" s="19">
        <v>345</v>
      </c>
      <c r="N352" s="7" t="s">
        <v>237</v>
      </c>
      <c r="O352" s="20" t="s">
        <v>245</v>
      </c>
      <c r="P352" s="20" t="s">
        <v>245</v>
      </c>
      <c r="Q352" s="20" t="s">
        <v>245</v>
      </c>
      <c r="R352" s="21">
        <v>42653</v>
      </c>
      <c r="S352" s="22" t="s">
        <v>246</v>
      </c>
      <c r="T352" s="22">
        <v>2016</v>
      </c>
      <c r="U352" s="21">
        <v>42643</v>
      </c>
      <c r="V352" s="22"/>
    </row>
    <row r="353" spans="1:22" ht="19.5" customHeight="1" x14ac:dyDescent="0.3">
      <c r="A353" s="3">
        <v>2016</v>
      </c>
      <c r="B353" s="4">
        <v>42552</v>
      </c>
      <c r="C353" s="3">
        <v>2000</v>
      </c>
      <c r="D353" s="10" t="s">
        <v>131</v>
      </c>
      <c r="E353" s="6">
        <v>1805416.04</v>
      </c>
      <c r="F353" s="6">
        <f>2074619.61+2233525.83</f>
        <v>4308145.4400000004</v>
      </c>
      <c r="G353" s="6">
        <f>195305.58+93649.12</f>
        <v>288954.69999999995</v>
      </c>
      <c r="H353" s="3">
        <v>2900</v>
      </c>
      <c r="I353" s="10" t="s">
        <v>131</v>
      </c>
      <c r="J353" s="6">
        <v>1805416.04</v>
      </c>
      <c r="K353" s="6">
        <f>2074619.61+2233525.83</f>
        <v>4308145.4400000004</v>
      </c>
      <c r="L353" s="6">
        <f>195305.58+93649.12</f>
        <v>288954.69999999995</v>
      </c>
      <c r="M353" s="23">
        <v>346</v>
      </c>
      <c r="N353" s="7" t="s">
        <v>237</v>
      </c>
      <c r="O353" s="20" t="s">
        <v>245</v>
      </c>
      <c r="P353" s="20" t="s">
        <v>245</v>
      </c>
      <c r="Q353" s="20" t="s">
        <v>245</v>
      </c>
      <c r="R353" s="21">
        <v>42653</v>
      </c>
      <c r="S353" s="22" t="s">
        <v>246</v>
      </c>
      <c r="T353" s="22">
        <v>2016</v>
      </c>
      <c r="U353" s="21">
        <v>42643</v>
      </c>
      <c r="V353" s="22"/>
    </row>
    <row r="354" spans="1:22" ht="19.5" customHeight="1" x14ac:dyDescent="0.3">
      <c r="A354" s="3">
        <v>2016</v>
      </c>
      <c r="B354" s="4">
        <v>42552</v>
      </c>
      <c r="C354" s="3">
        <v>2000</v>
      </c>
      <c r="D354" s="7" t="s">
        <v>217</v>
      </c>
      <c r="E354" s="6">
        <v>0</v>
      </c>
      <c r="F354" s="6">
        <v>15000</v>
      </c>
      <c r="G354" s="6">
        <v>0</v>
      </c>
      <c r="H354" s="3">
        <v>2900</v>
      </c>
      <c r="I354" s="7" t="s">
        <v>217</v>
      </c>
      <c r="J354" s="6">
        <v>0</v>
      </c>
      <c r="K354" s="6">
        <v>15000</v>
      </c>
      <c r="L354" s="6">
        <v>0</v>
      </c>
      <c r="M354" s="19">
        <v>347</v>
      </c>
      <c r="N354" s="7" t="s">
        <v>237</v>
      </c>
      <c r="O354" s="20" t="s">
        <v>245</v>
      </c>
      <c r="P354" s="20" t="s">
        <v>245</v>
      </c>
      <c r="Q354" s="20" t="s">
        <v>245</v>
      </c>
      <c r="R354" s="21">
        <v>42653</v>
      </c>
      <c r="S354" s="22" t="s">
        <v>246</v>
      </c>
      <c r="T354" s="22">
        <v>2016</v>
      </c>
      <c r="U354" s="21">
        <v>42643</v>
      </c>
      <c r="V354" s="22"/>
    </row>
    <row r="355" spans="1:22" ht="19.5" customHeight="1" x14ac:dyDescent="0.3">
      <c r="A355" s="3">
        <v>2016</v>
      </c>
      <c r="B355" s="4">
        <v>42552</v>
      </c>
      <c r="C355" s="3">
        <v>2000</v>
      </c>
      <c r="D355" s="7" t="s">
        <v>132</v>
      </c>
      <c r="E355" s="6">
        <v>0</v>
      </c>
      <c r="F355" s="6">
        <v>315.52</v>
      </c>
      <c r="G355" s="6">
        <v>315.52</v>
      </c>
      <c r="H355" s="3">
        <v>2900</v>
      </c>
      <c r="I355" s="7" t="s">
        <v>132</v>
      </c>
      <c r="J355" s="6">
        <v>0</v>
      </c>
      <c r="K355" s="6">
        <v>315.52</v>
      </c>
      <c r="L355" s="6">
        <v>315.52</v>
      </c>
      <c r="M355" s="23">
        <v>348</v>
      </c>
      <c r="N355" s="7" t="s">
        <v>237</v>
      </c>
      <c r="O355" s="20" t="s">
        <v>245</v>
      </c>
      <c r="P355" s="20" t="s">
        <v>245</v>
      </c>
      <c r="Q355" s="20" t="s">
        <v>245</v>
      </c>
      <c r="R355" s="21">
        <v>42653</v>
      </c>
      <c r="S355" s="22" t="s">
        <v>246</v>
      </c>
      <c r="T355" s="22">
        <v>2016</v>
      </c>
      <c r="U355" s="21">
        <v>42643</v>
      </c>
      <c r="V355" s="22"/>
    </row>
    <row r="356" spans="1:22" ht="19.5" customHeight="1" x14ac:dyDescent="0.3">
      <c r="A356" s="3">
        <v>2016</v>
      </c>
      <c r="B356" s="4">
        <v>42552</v>
      </c>
      <c r="C356" s="3">
        <v>2000</v>
      </c>
      <c r="D356" s="7" t="s">
        <v>218</v>
      </c>
      <c r="E356" s="6">
        <v>0</v>
      </c>
      <c r="F356" s="6">
        <v>37218</v>
      </c>
      <c r="G356" s="6">
        <v>0</v>
      </c>
      <c r="H356" s="3">
        <v>2900</v>
      </c>
      <c r="I356" s="7" t="s">
        <v>218</v>
      </c>
      <c r="J356" s="6">
        <v>0</v>
      </c>
      <c r="K356" s="6">
        <v>37218</v>
      </c>
      <c r="L356" s="6">
        <v>0</v>
      </c>
      <c r="M356" s="19">
        <v>349</v>
      </c>
      <c r="N356" s="7" t="s">
        <v>237</v>
      </c>
      <c r="O356" s="20" t="s">
        <v>245</v>
      </c>
      <c r="P356" s="20" t="s">
        <v>245</v>
      </c>
      <c r="Q356" s="20" t="s">
        <v>245</v>
      </c>
      <c r="R356" s="21">
        <v>42653</v>
      </c>
      <c r="S356" s="22" t="s">
        <v>246</v>
      </c>
      <c r="T356" s="22">
        <v>2016</v>
      </c>
      <c r="U356" s="21">
        <v>42643</v>
      </c>
      <c r="V356" s="22"/>
    </row>
    <row r="357" spans="1:22" ht="19.5" customHeight="1" x14ac:dyDescent="0.3">
      <c r="A357" s="3">
        <v>2016</v>
      </c>
      <c r="B357" s="4">
        <v>42552</v>
      </c>
      <c r="C357" s="3">
        <v>2000</v>
      </c>
      <c r="D357" s="7" t="s">
        <v>219</v>
      </c>
      <c r="E357" s="6">
        <v>0</v>
      </c>
      <c r="F357" s="6">
        <v>1392</v>
      </c>
      <c r="G357" s="6">
        <v>1392</v>
      </c>
      <c r="H357" s="3">
        <v>2900</v>
      </c>
      <c r="I357" s="7" t="s">
        <v>219</v>
      </c>
      <c r="J357" s="6">
        <v>0</v>
      </c>
      <c r="K357" s="6">
        <v>1392</v>
      </c>
      <c r="L357" s="6">
        <v>1392</v>
      </c>
      <c r="M357" s="23">
        <v>350</v>
      </c>
      <c r="N357" s="7" t="s">
        <v>237</v>
      </c>
      <c r="O357" s="20" t="s">
        <v>245</v>
      </c>
      <c r="P357" s="20" t="s">
        <v>245</v>
      </c>
      <c r="Q357" s="20" t="s">
        <v>245</v>
      </c>
      <c r="R357" s="21">
        <v>42653</v>
      </c>
      <c r="S357" s="22" t="s">
        <v>246</v>
      </c>
      <c r="T357" s="22">
        <v>2016</v>
      </c>
      <c r="U357" s="21">
        <v>42643</v>
      </c>
      <c r="V357" s="22"/>
    </row>
    <row r="358" spans="1:22" ht="19.5" customHeight="1" x14ac:dyDescent="0.3">
      <c r="A358" s="3">
        <v>2016</v>
      </c>
      <c r="B358" s="4">
        <v>42552</v>
      </c>
      <c r="C358" s="3">
        <v>2000</v>
      </c>
      <c r="D358" s="7" t="s">
        <v>133</v>
      </c>
      <c r="E358" s="6">
        <v>0</v>
      </c>
      <c r="F358" s="6">
        <f>78569.6+7474.47</f>
        <v>86044.07</v>
      </c>
      <c r="G358" s="6">
        <v>7473.88</v>
      </c>
      <c r="H358" s="3">
        <v>2900</v>
      </c>
      <c r="I358" s="7" t="s">
        <v>133</v>
      </c>
      <c r="J358" s="6">
        <v>0</v>
      </c>
      <c r="K358" s="6">
        <f>78569.6+7474.47</f>
        <v>86044.07</v>
      </c>
      <c r="L358" s="6">
        <v>7473.88</v>
      </c>
      <c r="M358" s="19">
        <v>351</v>
      </c>
      <c r="N358" s="7" t="s">
        <v>237</v>
      </c>
      <c r="O358" s="20" t="s">
        <v>245</v>
      </c>
      <c r="P358" s="20" t="s">
        <v>245</v>
      </c>
      <c r="Q358" s="20" t="s">
        <v>245</v>
      </c>
      <c r="R358" s="21">
        <v>42653</v>
      </c>
      <c r="S358" s="22" t="s">
        <v>246</v>
      </c>
      <c r="T358" s="22">
        <v>2016</v>
      </c>
      <c r="U358" s="21">
        <v>42643</v>
      </c>
      <c r="V358" s="22"/>
    </row>
    <row r="359" spans="1:22" ht="19.5" customHeight="1" x14ac:dyDescent="0.3">
      <c r="A359" s="3">
        <v>2016</v>
      </c>
      <c r="B359" s="4">
        <v>42552</v>
      </c>
      <c r="C359" s="3">
        <v>3000</v>
      </c>
      <c r="D359" s="7" t="s">
        <v>134</v>
      </c>
      <c r="E359" s="6">
        <v>24000</v>
      </c>
      <c r="F359" s="6">
        <v>0</v>
      </c>
      <c r="G359" s="6">
        <v>0</v>
      </c>
      <c r="H359" s="3">
        <v>3100</v>
      </c>
      <c r="I359" s="7" t="s">
        <v>134</v>
      </c>
      <c r="J359" s="6">
        <v>24000</v>
      </c>
      <c r="K359" s="6">
        <v>0</v>
      </c>
      <c r="L359" s="6">
        <v>0</v>
      </c>
      <c r="M359" s="23">
        <v>352</v>
      </c>
      <c r="N359" s="7" t="s">
        <v>238</v>
      </c>
      <c r="O359" s="20" t="s">
        <v>245</v>
      </c>
      <c r="P359" s="20" t="s">
        <v>245</v>
      </c>
      <c r="Q359" s="20" t="s">
        <v>245</v>
      </c>
      <c r="R359" s="21">
        <v>42653</v>
      </c>
      <c r="S359" s="22" t="s">
        <v>246</v>
      </c>
      <c r="T359" s="22">
        <v>2016</v>
      </c>
      <c r="U359" s="21">
        <v>42643</v>
      </c>
      <c r="V359" s="22"/>
    </row>
    <row r="360" spans="1:22" ht="19.5" customHeight="1" x14ac:dyDescent="0.3">
      <c r="A360" s="3">
        <v>2016</v>
      </c>
      <c r="B360" s="4">
        <v>42552</v>
      </c>
      <c r="C360" s="3">
        <v>3000</v>
      </c>
      <c r="D360" s="10" t="s">
        <v>135</v>
      </c>
      <c r="E360" s="6">
        <v>8750000.0399999991</v>
      </c>
      <c r="F360" s="6">
        <f>8750000.04+389928</f>
        <v>9139928.0399999991</v>
      </c>
      <c r="G360" s="6">
        <f>5227931.63+389928</f>
        <v>5617859.6299999999</v>
      </c>
      <c r="H360" s="3">
        <v>3100</v>
      </c>
      <c r="I360" s="10" t="s">
        <v>135</v>
      </c>
      <c r="J360" s="6">
        <v>8750000.0399999991</v>
      </c>
      <c r="K360" s="6">
        <f>8750000.04+389928</f>
        <v>9139928.0399999991</v>
      </c>
      <c r="L360" s="6">
        <f>5227931.63+389928</f>
        <v>5617859.6299999999</v>
      </c>
      <c r="M360" s="19">
        <v>353</v>
      </c>
      <c r="N360" s="7" t="s">
        <v>238</v>
      </c>
      <c r="O360" s="20" t="s">
        <v>245</v>
      </c>
      <c r="P360" s="20" t="s">
        <v>245</v>
      </c>
      <c r="Q360" s="20" t="s">
        <v>245</v>
      </c>
      <c r="R360" s="21">
        <v>42653</v>
      </c>
      <c r="S360" s="22" t="s">
        <v>246</v>
      </c>
      <c r="T360" s="22">
        <v>2016</v>
      </c>
      <c r="U360" s="21">
        <v>42643</v>
      </c>
      <c r="V360" s="22"/>
    </row>
    <row r="361" spans="1:22" ht="19.5" customHeight="1" x14ac:dyDescent="0.3">
      <c r="A361" s="3">
        <v>2016</v>
      </c>
      <c r="B361" s="4">
        <v>42552</v>
      </c>
      <c r="C361" s="3">
        <v>3000</v>
      </c>
      <c r="D361" s="10" t="s">
        <v>220</v>
      </c>
      <c r="E361" s="6">
        <v>0</v>
      </c>
      <c r="F361" s="6">
        <v>15185.04</v>
      </c>
      <c r="G361" s="6">
        <v>15185.04</v>
      </c>
      <c r="H361" s="3">
        <v>3100</v>
      </c>
      <c r="I361" s="10" t="s">
        <v>220</v>
      </c>
      <c r="J361" s="6">
        <v>0</v>
      </c>
      <c r="K361" s="6">
        <v>15185.04</v>
      </c>
      <c r="L361" s="6">
        <v>15185.04</v>
      </c>
      <c r="M361" s="23">
        <v>354</v>
      </c>
      <c r="N361" s="7" t="s">
        <v>238</v>
      </c>
      <c r="O361" s="20" t="s">
        <v>245</v>
      </c>
      <c r="P361" s="20" t="s">
        <v>245</v>
      </c>
      <c r="Q361" s="20" t="s">
        <v>245</v>
      </c>
      <c r="R361" s="21">
        <v>42653</v>
      </c>
      <c r="S361" s="22" t="s">
        <v>246</v>
      </c>
      <c r="T361" s="22">
        <v>2016</v>
      </c>
      <c r="U361" s="21">
        <v>42643</v>
      </c>
      <c r="V361" s="22"/>
    </row>
    <row r="362" spans="1:22" ht="19.5" customHeight="1" x14ac:dyDescent="0.3">
      <c r="A362" s="3">
        <v>2016</v>
      </c>
      <c r="B362" s="4">
        <v>42552</v>
      </c>
      <c r="C362" s="3">
        <v>3000</v>
      </c>
      <c r="D362" s="10" t="s">
        <v>136</v>
      </c>
      <c r="E362" s="6">
        <v>3000000</v>
      </c>
      <c r="F362" s="6">
        <f>3000000+664659</f>
        <v>3664659</v>
      </c>
      <c r="G362" s="6">
        <f>1421536+664659</f>
        <v>2086195</v>
      </c>
      <c r="H362" s="3">
        <v>3100</v>
      </c>
      <c r="I362" s="10" t="s">
        <v>136</v>
      </c>
      <c r="J362" s="6">
        <v>3000000</v>
      </c>
      <c r="K362" s="6">
        <f>3000000+664659</f>
        <v>3664659</v>
      </c>
      <c r="L362" s="6">
        <f>1421536+664659</f>
        <v>2086195</v>
      </c>
      <c r="M362" s="19">
        <v>355</v>
      </c>
      <c r="N362" s="7" t="s">
        <v>238</v>
      </c>
      <c r="O362" s="20" t="s">
        <v>245</v>
      </c>
      <c r="P362" s="20" t="s">
        <v>245</v>
      </c>
      <c r="Q362" s="20" t="s">
        <v>245</v>
      </c>
      <c r="R362" s="21">
        <v>42653</v>
      </c>
      <c r="S362" s="22" t="s">
        <v>246</v>
      </c>
      <c r="T362" s="22">
        <v>2016</v>
      </c>
      <c r="U362" s="21">
        <v>42643</v>
      </c>
      <c r="V362" s="22"/>
    </row>
    <row r="363" spans="1:22" ht="19.5" customHeight="1" x14ac:dyDescent="0.3">
      <c r="A363" s="3">
        <v>2016</v>
      </c>
      <c r="B363" s="4">
        <v>42552</v>
      </c>
      <c r="C363" s="3">
        <v>3000</v>
      </c>
      <c r="D363" s="10" t="s">
        <v>137</v>
      </c>
      <c r="E363" s="6">
        <v>1060000</v>
      </c>
      <c r="F363" s="6">
        <f>1060000+72601.24</f>
        <v>1132601.24</v>
      </c>
      <c r="G363" s="6">
        <f>605774.63+72601.24</f>
        <v>678375.87</v>
      </c>
      <c r="H363" s="3">
        <v>3100</v>
      </c>
      <c r="I363" s="10" t="s">
        <v>137</v>
      </c>
      <c r="J363" s="6">
        <v>1060000</v>
      </c>
      <c r="K363" s="6">
        <f>1060000+72601.24</f>
        <v>1132601.24</v>
      </c>
      <c r="L363" s="6">
        <f>605774.63+72601.24</f>
        <v>678375.87</v>
      </c>
      <c r="M363" s="23">
        <v>356</v>
      </c>
      <c r="N363" s="7" t="s">
        <v>238</v>
      </c>
      <c r="O363" s="20" t="s">
        <v>245</v>
      </c>
      <c r="P363" s="20" t="s">
        <v>245</v>
      </c>
      <c r="Q363" s="20" t="s">
        <v>245</v>
      </c>
      <c r="R363" s="21">
        <v>42653</v>
      </c>
      <c r="S363" s="22" t="s">
        <v>246</v>
      </c>
      <c r="T363" s="22">
        <v>2016</v>
      </c>
      <c r="U363" s="21">
        <v>42643</v>
      </c>
      <c r="V363" s="22"/>
    </row>
    <row r="364" spans="1:22" ht="19.5" customHeight="1" x14ac:dyDescent="0.3">
      <c r="A364" s="3">
        <v>2016</v>
      </c>
      <c r="B364" s="4">
        <v>42552</v>
      </c>
      <c r="C364" s="3">
        <v>3000</v>
      </c>
      <c r="D364" s="10" t="s">
        <v>138</v>
      </c>
      <c r="E364" s="6">
        <v>250000</v>
      </c>
      <c r="F364" s="6">
        <f>250000+47828.76</f>
        <v>297828.76</v>
      </c>
      <c r="G364" s="6">
        <f>36019+47828.76</f>
        <v>83847.760000000009</v>
      </c>
      <c r="H364" s="3">
        <v>3100</v>
      </c>
      <c r="I364" s="10" t="s">
        <v>138</v>
      </c>
      <c r="J364" s="6">
        <v>250000</v>
      </c>
      <c r="K364" s="6">
        <f>250000+47828.76</f>
        <v>297828.76</v>
      </c>
      <c r="L364" s="6">
        <f>36019+47828.76</f>
        <v>83847.760000000009</v>
      </c>
      <c r="M364" s="19">
        <v>357</v>
      </c>
      <c r="N364" s="7" t="s">
        <v>238</v>
      </c>
      <c r="O364" s="20" t="s">
        <v>245</v>
      </c>
      <c r="P364" s="20" t="s">
        <v>245</v>
      </c>
      <c r="Q364" s="20" t="s">
        <v>245</v>
      </c>
      <c r="R364" s="21">
        <v>42653</v>
      </c>
      <c r="S364" s="22" t="s">
        <v>246</v>
      </c>
      <c r="T364" s="22">
        <v>2016</v>
      </c>
      <c r="U364" s="21">
        <v>42643</v>
      </c>
      <c r="V364" s="22"/>
    </row>
    <row r="365" spans="1:22" ht="19.5" customHeight="1" x14ac:dyDescent="0.3">
      <c r="A365" s="3">
        <v>2016</v>
      </c>
      <c r="B365" s="4">
        <v>42552</v>
      </c>
      <c r="C365" s="3">
        <v>3000</v>
      </c>
      <c r="D365" s="10" t="s">
        <v>139</v>
      </c>
      <c r="E365" s="6">
        <v>5394510.0099999998</v>
      </c>
      <c r="F365" s="6">
        <f>3356054.81+250031.42</f>
        <v>3606086.23</v>
      </c>
      <c r="G365" s="6">
        <f>2727415.3+250031.42</f>
        <v>2977446.7199999997</v>
      </c>
      <c r="H365" s="3">
        <v>3100</v>
      </c>
      <c r="I365" s="10" t="s">
        <v>139</v>
      </c>
      <c r="J365" s="6">
        <v>5394510.0099999998</v>
      </c>
      <c r="K365" s="6">
        <f>3356054.81+250031.42</f>
        <v>3606086.23</v>
      </c>
      <c r="L365" s="6">
        <f>2727415.3+250031.42</f>
        <v>2977446.7199999997</v>
      </c>
      <c r="M365" s="23">
        <v>358</v>
      </c>
      <c r="N365" s="7" t="s">
        <v>238</v>
      </c>
      <c r="O365" s="20" t="s">
        <v>245</v>
      </c>
      <c r="P365" s="20" t="s">
        <v>245</v>
      </c>
      <c r="Q365" s="20" t="s">
        <v>245</v>
      </c>
      <c r="R365" s="21">
        <v>42653</v>
      </c>
      <c r="S365" s="22" t="s">
        <v>246</v>
      </c>
      <c r="T365" s="22">
        <v>2016</v>
      </c>
      <c r="U365" s="21">
        <v>42643</v>
      </c>
      <c r="V365" s="22"/>
    </row>
    <row r="366" spans="1:22" ht="19.5" customHeight="1" x14ac:dyDescent="0.3">
      <c r="A366" s="3">
        <v>2016</v>
      </c>
      <c r="B366" s="4">
        <v>42552</v>
      </c>
      <c r="C366" s="3">
        <v>3000</v>
      </c>
      <c r="D366" s="10" t="s">
        <v>140</v>
      </c>
      <c r="E366" s="6">
        <v>92680</v>
      </c>
      <c r="F366" s="6">
        <v>98188.58</v>
      </c>
      <c r="G366" s="6">
        <v>13239.93</v>
      </c>
      <c r="H366" s="3">
        <v>3100</v>
      </c>
      <c r="I366" s="10" t="s">
        <v>140</v>
      </c>
      <c r="J366" s="6">
        <v>92680</v>
      </c>
      <c r="K366" s="6">
        <v>98188.58</v>
      </c>
      <c r="L366" s="6">
        <v>13239.93</v>
      </c>
      <c r="M366" s="19">
        <v>359</v>
      </c>
      <c r="N366" s="7" t="s">
        <v>238</v>
      </c>
      <c r="O366" s="20" t="s">
        <v>245</v>
      </c>
      <c r="P366" s="20" t="s">
        <v>245</v>
      </c>
      <c r="Q366" s="20" t="s">
        <v>245</v>
      </c>
      <c r="R366" s="21">
        <v>42653</v>
      </c>
      <c r="S366" s="22" t="s">
        <v>246</v>
      </c>
      <c r="T366" s="22">
        <v>2016</v>
      </c>
      <c r="U366" s="21">
        <v>42643</v>
      </c>
      <c r="V366" s="22"/>
    </row>
    <row r="367" spans="1:22" ht="19.5" customHeight="1" x14ac:dyDescent="0.3">
      <c r="A367" s="3">
        <v>2016</v>
      </c>
      <c r="B367" s="4">
        <v>42552</v>
      </c>
      <c r="C367" s="3">
        <v>3000</v>
      </c>
      <c r="D367" s="7" t="s">
        <v>141</v>
      </c>
      <c r="E367" s="6">
        <v>2095714</v>
      </c>
      <c r="F367" s="6">
        <f>2614060+95642</f>
        <v>2709702</v>
      </c>
      <c r="G367" s="6">
        <f>1703518+95642</f>
        <v>1799160</v>
      </c>
      <c r="H367" s="3">
        <v>3100</v>
      </c>
      <c r="I367" s="7" t="s">
        <v>141</v>
      </c>
      <c r="J367" s="6">
        <v>2095714</v>
      </c>
      <c r="K367" s="6">
        <f>2614060+95642</f>
        <v>2709702</v>
      </c>
      <c r="L367" s="6">
        <f>1703518+95642</f>
        <v>1799160</v>
      </c>
      <c r="M367" s="23">
        <v>360</v>
      </c>
      <c r="N367" s="7" t="s">
        <v>238</v>
      </c>
      <c r="O367" s="20" t="s">
        <v>245</v>
      </c>
      <c r="P367" s="20" t="s">
        <v>245</v>
      </c>
      <c r="Q367" s="20" t="s">
        <v>245</v>
      </c>
      <c r="R367" s="21">
        <v>42653</v>
      </c>
      <c r="S367" s="22" t="s">
        <v>246</v>
      </c>
      <c r="T367" s="22">
        <v>2016</v>
      </c>
      <c r="U367" s="21">
        <v>42643</v>
      </c>
      <c r="V367" s="22"/>
    </row>
    <row r="368" spans="1:22" ht="19.5" customHeight="1" x14ac:dyDescent="0.3">
      <c r="A368" s="3">
        <v>2016</v>
      </c>
      <c r="B368" s="4">
        <v>42552</v>
      </c>
      <c r="C368" s="3">
        <v>3000</v>
      </c>
      <c r="D368" s="10" t="s">
        <v>142</v>
      </c>
      <c r="E368" s="6">
        <v>9127399.8000000007</v>
      </c>
      <c r="F368" s="6">
        <v>9627399.8000000007</v>
      </c>
      <c r="G368" s="6">
        <v>6780354.1200000001</v>
      </c>
      <c r="H368" s="3">
        <v>3200</v>
      </c>
      <c r="I368" s="10" t="s">
        <v>142</v>
      </c>
      <c r="J368" s="6">
        <v>9127399.8000000007</v>
      </c>
      <c r="K368" s="6">
        <v>9627399.8000000007</v>
      </c>
      <c r="L368" s="6">
        <v>6780354.1200000001</v>
      </c>
      <c r="M368" s="19">
        <v>361</v>
      </c>
      <c r="N368" s="7" t="s">
        <v>238</v>
      </c>
      <c r="O368" s="20" t="s">
        <v>245</v>
      </c>
      <c r="P368" s="20" t="s">
        <v>245</v>
      </c>
      <c r="Q368" s="20" t="s">
        <v>245</v>
      </c>
      <c r="R368" s="21">
        <v>42653</v>
      </c>
      <c r="S368" s="22" t="s">
        <v>246</v>
      </c>
      <c r="T368" s="22">
        <v>2016</v>
      </c>
      <c r="U368" s="21">
        <v>42643</v>
      </c>
      <c r="V368" s="22"/>
    </row>
    <row r="369" spans="1:22" ht="19.5" customHeight="1" x14ac:dyDescent="0.3">
      <c r="A369" s="3">
        <v>2016</v>
      </c>
      <c r="B369" s="4">
        <v>42552</v>
      </c>
      <c r="C369" s="3">
        <v>3000</v>
      </c>
      <c r="D369" s="10" t="s">
        <v>143</v>
      </c>
      <c r="E369" s="6">
        <v>116000</v>
      </c>
      <c r="F369" s="6">
        <f>82940+23896</f>
        <v>106836</v>
      </c>
      <c r="G369" s="6">
        <v>23896</v>
      </c>
      <c r="H369" s="3">
        <v>3200</v>
      </c>
      <c r="I369" s="10" t="s">
        <v>143</v>
      </c>
      <c r="J369" s="6">
        <v>116000</v>
      </c>
      <c r="K369" s="6">
        <f>82940+23896</f>
        <v>106836</v>
      </c>
      <c r="L369" s="6">
        <v>23896</v>
      </c>
      <c r="M369" s="23">
        <v>362</v>
      </c>
      <c r="N369" s="7" t="s">
        <v>238</v>
      </c>
      <c r="O369" s="20" t="s">
        <v>245</v>
      </c>
      <c r="P369" s="20" t="s">
        <v>245</v>
      </c>
      <c r="Q369" s="20" t="s">
        <v>245</v>
      </c>
      <c r="R369" s="21">
        <v>42653</v>
      </c>
      <c r="S369" s="22" t="s">
        <v>246</v>
      </c>
      <c r="T369" s="22">
        <v>2016</v>
      </c>
      <c r="U369" s="21">
        <v>42643</v>
      </c>
      <c r="V369" s="22"/>
    </row>
    <row r="370" spans="1:22" ht="19.5" customHeight="1" x14ac:dyDescent="0.3">
      <c r="A370" s="3">
        <v>2016</v>
      </c>
      <c r="B370" s="4">
        <v>42552</v>
      </c>
      <c r="C370" s="3">
        <v>3000</v>
      </c>
      <c r="D370" s="7" t="s">
        <v>144</v>
      </c>
      <c r="E370" s="6">
        <v>15000</v>
      </c>
      <c r="F370" s="6">
        <v>0</v>
      </c>
      <c r="G370" s="6">
        <v>0</v>
      </c>
      <c r="H370" s="3">
        <v>3200</v>
      </c>
      <c r="I370" s="7" t="s">
        <v>144</v>
      </c>
      <c r="J370" s="6">
        <v>15000</v>
      </c>
      <c r="K370" s="6">
        <v>0</v>
      </c>
      <c r="L370" s="6">
        <v>0</v>
      </c>
      <c r="M370" s="19">
        <v>363</v>
      </c>
      <c r="N370" s="7" t="s">
        <v>238</v>
      </c>
      <c r="O370" s="20" t="s">
        <v>245</v>
      </c>
      <c r="P370" s="20" t="s">
        <v>245</v>
      </c>
      <c r="Q370" s="20" t="s">
        <v>245</v>
      </c>
      <c r="R370" s="21">
        <v>42653</v>
      </c>
      <c r="S370" s="22" t="s">
        <v>246</v>
      </c>
      <c r="T370" s="22">
        <v>2016</v>
      </c>
      <c r="U370" s="21">
        <v>42643</v>
      </c>
      <c r="V370" s="22"/>
    </row>
    <row r="371" spans="1:22" ht="19.5" customHeight="1" x14ac:dyDescent="0.3">
      <c r="A371" s="3">
        <v>2016</v>
      </c>
      <c r="B371" s="4">
        <v>42552</v>
      </c>
      <c r="C371" s="3">
        <v>3000</v>
      </c>
      <c r="D371" s="7" t="s">
        <v>221</v>
      </c>
      <c r="E371" s="6">
        <v>0</v>
      </c>
      <c r="F371" s="6">
        <v>20400.07</v>
      </c>
      <c r="G371" s="6">
        <v>0</v>
      </c>
      <c r="H371" s="3">
        <v>3200</v>
      </c>
      <c r="I371" s="7" t="s">
        <v>221</v>
      </c>
      <c r="J371" s="6">
        <v>0</v>
      </c>
      <c r="K371" s="6">
        <v>20400.07</v>
      </c>
      <c r="L371" s="6">
        <v>0</v>
      </c>
      <c r="M371" s="23">
        <v>364</v>
      </c>
      <c r="N371" s="7" t="s">
        <v>238</v>
      </c>
      <c r="O371" s="20" t="s">
        <v>245</v>
      </c>
      <c r="P371" s="20" t="s">
        <v>245</v>
      </c>
      <c r="Q371" s="20" t="s">
        <v>245</v>
      </c>
      <c r="R371" s="21">
        <v>42653</v>
      </c>
      <c r="S371" s="22" t="s">
        <v>246</v>
      </c>
      <c r="T371" s="22">
        <v>2016</v>
      </c>
      <c r="U371" s="21">
        <v>42643</v>
      </c>
      <c r="V371" s="22"/>
    </row>
    <row r="372" spans="1:22" ht="19.5" customHeight="1" x14ac:dyDescent="0.3">
      <c r="A372" s="3">
        <v>2016</v>
      </c>
      <c r="B372" s="4">
        <v>42552</v>
      </c>
      <c r="C372" s="3">
        <v>3000</v>
      </c>
      <c r="D372" s="10" t="s">
        <v>145</v>
      </c>
      <c r="E372" s="6">
        <v>1135065</v>
      </c>
      <c r="F372" s="6">
        <f>1014084.13+8000</f>
        <v>1022084.13</v>
      </c>
      <c r="G372" s="6">
        <f>442167.8+8000</f>
        <v>450167.8</v>
      </c>
      <c r="H372" s="3">
        <v>3200</v>
      </c>
      <c r="I372" s="10" t="s">
        <v>145</v>
      </c>
      <c r="J372" s="6">
        <v>1135065</v>
      </c>
      <c r="K372" s="6">
        <f>1014084.13+8000</f>
        <v>1022084.13</v>
      </c>
      <c r="L372" s="6">
        <f>442167.8+8000</f>
        <v>450167.8</v>
      </c>
      <c r="M372" s="19">
        <v>365</v>
      </c>
      <c r="N372" s="7" t="s">
        <v>238</v>
      </c>
      <c r="O372" s="20" t="s">
        <v>245</v>
      </c>
      <c r="P372" s="20" t="s">
        <v>245</v>
      </c>
      <c r="Q372" s="20" t="s">
        <v>245</v>
      </c>
      <c r="R372" s="21">
        <v>42653</v>
      </c>
      <c r="S372" s="22" t="s">
        <v>246</v>
      </c>
      <c r="T372" s="22">
        <v>2016</v>
      </c>
      <c r="U372" s="21">
        <v>42643</v>
      </c>
      <c r="V372" s="22"/>
    </row>
    <row r="373" spans="1:22" ht="19.5" customHeight="1" x14ac:dyDescent="0.3">
      <c r="A373" s="3">
        <v>2016</v>
      </c>
      <c r="B373" s="4">
        <v>42552</v>
      </c>
      <c r="C373" s="3">
        <v>3000</v>
      </c>
      <c r="D373" s="10" t="s">
        <v>146</v>
      </c>
      <c r="E373" s="6">
        <v>41000</v>
      </c>
      <c r="F373" s="6">
        <v>54960</v>
      </c>
      <c r="G373" s="6">
        <v>0</v>
      </c>
      <c r="H373" s="3">
        <v>3200</v>
      </c>
      <c r="I373" s="10" t="s">
        <v>146</v>
      </c>
      <c r="J373" s="6">
        <v>41000</v>
      </c>
      <c r="K373" s="6">
        <v>54960</v>
      </c>
      <c r="L373" s="6">
        <v>0</v>
      </c>
      <c r="M373" s="23">
        <v>366</v>
      </c>
      <c r="N373" s="7" t="s">
        <v>238</v>
      </c>
      <c r="O373" s="20" t="s">
        <v>245</v>
      </c>
      <c r="P373" s="20" t="s">
        <v>245</v>
      </c>
      <c r="Q373" s="20" t="s">
        <v>245</v>
      </c>
      <c r="R373" s="21">
        <v>42653</v>
      </c>
      <c r="S373" s="22" t="s">
        <v>246</v>
      </c>
      <c r="T373" s="22">
        <v>2016</v>
      </c>
      <c r="U373" s="21">
        <v>42643</v>
      </c>
      <c r="V373" s="22"/>
    </row>
    <row r="374" spans="1:22" ht="19.5" customHeight="1" x14ac:dyDescent="0.3">
      <c r="A374" s="3">
        <v>2016</v>
      </c>
      <c r="B374" s="4">
        <v>42552</v>
      </c>
      <c r="C374" s="3">
        <v>3000</v>
      </c>
      <c r="D374" s="10" t="s">
        <v>147</v>
      </c>
      <c r="E374" s="6">
        <v>7485000</v>
      </c>
      <c r="F374" s="6">
        <f>5975401.98+5497874</f>
        <v>11473275.98</v>
      </c>
      <c r="G374" s="6">
        <v>682871.39</v>
      </c>
      <c r="H374" s="3">
        <v>3300</v>
      </c>
      <c r="I374" s="10" t="s">
        <v>147</v>
      </c>
      <c r="J374" s="6">
        <v>7485000</v>
      </c>
      <c r="K374" s="6">
        <f>5975401.98+5497874</f>
        <v>11473275.98</v>
      </c>
      <c r="L374" s="6">
        <v>682871.39</v>
      </c>
      <c r="M374" s="19">
        <v>367</v>
      </c>
      <c r="N374" s="7" t="s">
        <v>238</v>
      </c>
      <c r="O374" s="20" t="s">
        <v>245</v>
      </c>
      <c r="P374" s="20" t="s">
        <v>245</v>
      </c>
      <c r="Q374" s="20" t="s">
        <v>245</v>
      </c>
      <c r="R374" s="21">
        <v>42653</v>
      </c>
      <c r="S374" s="22" t="s">
        <v>246</v>
      </c>
      <c r="T374" s="22">
        <v>2016</v>
      </c>
      <c r="U374" s="21">
        <v>42643</v>
      </c>
      <c r="V374" s="22"/>
    </row>
    <row r="375" spans="1:22" ht="19.5" customHeight="1" x14ac:dyDescent="0.3">
      <c r="A375" s="3">
        <v>2016</v>
      </c>
      <c r="B375" s="4">
        <v>42552</v>
      </c>
      <c r="C375" s="3">
        <v>3000</v>
      </c>
      <c r="D375" s="7" t="s">
        <v>148</v>
      </c>
      <c r="E375" s="6">
        <v>4500</v>
      </c>
      <c r="F375" s="6">
        <f>21024.44+9944261.53+9840000</f>
        <v>19805285.969999999</v>
      </c>
      <c r="G375" s="6">
        <f>1116710.67</f>
        <v>1116710.67</v>
      </c>
      <c r="H375" s="3">
        <v>3300</v>
      </c>
      <c r="I375" s="7" t="s">
        <v>148</v>
      </c>
      <c r="J375" s="6">
        <v>4500</v>
      </c>
      <c r="K375" s="6">
        <f>21024.44+9944261.53+9840000</f>
        <v>19805285.969999999</v>
      </c>
      <c r="L375" s="6">
        <f>1116710.67</f>
        <v>1116710.67</v>
      </c>
      <c r="M375" s="23">
        <v>368</v>
      </c>
      <c r="N375" s="7" t="s">
        <v>238</v>
      </c>
      <c r="O375" s="20" t="s">
        <v>245</v>
      </c>
      <c r="P375" s="20" t="s">
        <v>245</v>
      </c>
      <c r="Q375" s="20" t="s">
        <v>245</v>
      </c>
      <c r="R375" s="21">
        <v>42653</v>
      </c>
      <c r="S375" s="22" t="s">
        <v>246</v>
      </c>
      <c r="T375" s="22">
        <v>2016</v>
      </c>
      <c r="U375" s="21">
        <v>42643</v>
      </c>
      <c r="V375" s="22"/>
    </row>
    <row r="376" spans="1:22" ht="19.5" customHeight="1" x14ac:dyDescent="0.3">
      <c r="A376" s="3">
        <v>2016</v>
      </c>
      <c r="B376" s="4">
        <v>42552</v>
      </c>
      <c r="C376" s="3">
        <v>3000</v>
      </c>
      <c r="D376" s="10" t="s">
        <v>149</v>
      </c>
      <c r="E376" s="6">
        <v>2133390</v>
      </c>
      <c r="F376" s="6">
        <f>1069890.03+788800</f>
        <v>1858690.03</v>
      </c>
      <c r="G376" s="6">
        <f>447476.58+690200</f>
        <v>1137676.58</v>
      </c>
      <c r="H376" s="3">
        <v>3300</v>
      </c>
      <c r="I376" s="10" t="s">
        <v>149</v>
      </c>
      <c r="J376" s="6">
        <v>2133390</v>
      </c>
      <c r="K376" s="6">
        <f>1069890.03+788800</f>
        <v>1858690.03</v>
      </c>
      <c r="L376" s="6">
        <f>447476.58+690200</f>
        <v>1137676.58</v>
      </c>
      <c r="M376" s="19">
        <v>369</v>
      </c>
      <c r="N376" s="7" t="s">
        <v>238</v>
      </c>
      <c r="O376" s="20" t="s">
        <v>245</v>
      </c>
      <c r="P376" s="20" t="s">
        <v>245</v>
      </c>
      <c r="Q376" s="20" t="s">
        <v>245</v>
      </c>
      <c r="R376" s="21">
        <v>42653</v>
      </c>
      <c r="S376" s="22" t="s">
        <v>246</v>
      </c>
      <c r="T376" s="22">
        <v>2016</v>
      </c>
      <c r="U376" s="21">
        <v>42643</v>
      </c>
      <c r="V376" s="22"/>
    </row>
    <row r="377" spans="1:22" ht="19.5" customHeight="1" x14ac:dyDescent="0.3">
      <c r="A377" s="3">
        <v>2016</v>
      </c>
      <c r="B377" s="4">
        <v>42552</v>
      </c>
      <c r="C377" s="3">
        <v>3000</v>
      </c>
      <c r="D377" s="10" t="s">
        <v>150</v>
      </c>
      <c r="E377" s="6">
        <v>429134</v>
      </c>
      <c r="F377" s="6">
        <f>541224.71+63892.8</f>
        <v>605117.51</v>
      </c>
      <c r="G377" s="6">
        <f>12700+10944.6</f>
        <v>23644.6</v>
      </c>
      <c r="H377" s="3">
        <v>3300</v>
      </c>
      <c r="I377" s="10" t="s">
        <v>150</v>
      </c>
      <c r="J377" s="6">
        <v>429134</v>
      </c>
      <c r="K377" s="6">
        <f>541224.71+63892.8</f>
        <v>605117.51</v>
      </c>
      <c r="L377" s="6">
        <f>12700+10944.6</f>
        <v>23644.6</v>
      </c>
      <c r="M377" s="23">
        <v>370</v>
      </c>
      <c r="N377" s="7" t="s">
        <v>238</v>
      </c>
      <c r="O377" s="20" t="s">
        <v>245</v>
      </c>
      <c r="P377" s="20" t="s">
        <v>245</v>
      </c>
      <c r="Q377" s="20" t="s">
        <v>245</v>
      </c>
      <c r="R377" s="21">
        <v>42653</v>
      </c>
      <c r="S377" s="22" t="s">
        <v>246</v>
      </c>
      <c r="T377" s="22">
        <v>2016</v>
      </c>
      <c r="U377" s="21">
        <v>42643</v>
      </c>
      <c r="V377" s="22"/>
    </row>
    <row r="378" spans="1:22" ht="19.5" customHeight="1" x14ac:dyDescent="0.3">
      <c r="A378" s="3">
        <v>2016</v>
      </c>
      <c r="B378" s="4">
        <v>42552</v>
      </c>
      <c r="C378" s="3">
        <v>3000</v>
      </c>
      <c r="D378" s="10" t="s">
        <v>151</v>
      </c>
      <c r="E378" s="6">
        <v>3680970</v>
      </c>
      <c r="F378" s="6">
        <v>1940970</v>
      </c>
      <c r="G378" s="6">
        <v>10000</v>
      </c>
      <c r="H378" s="3">
        <v>3300</v>
      </c>
      <c r="I378" s="10" t="s">
        <v>151</v>
      </c>
      <c r="J378" s="6">
        <v>3680970</v>
      </c>
      <c r="K378" s="6">
        <v>1940970</v>
      </c>
      <c r="L378" s="6">
        <v>10000</v>
      </c>
      <c r="M378" s="19">
        <v>371</v>
      </c>
      <c r="N378" s="7" t="s">
        <v>238</v>
      </c>
      <c r="O378" s="20" t="s">
        <v>245</v>
      </c>
      <c r="P378" s="20" t="s">
        <v>245</v>
      </c>
      <c r="Q378" s="20" t="s">
        <v>245</v>
      </c>
      <c r="R378" s="21">
        <v>42653</v>
      </c>
      <c r="S378" s="22" t="s">
        <v>246</v>
      </c>
      <c r="T378" s="22">
        <v>2016</v>
      </c>
      <c r="U378" s="21">
        <v>42643</v>
      </c>
      <c r="V378" s="22"/>
    </row>
    <row r="379" spans="1:22" ht="19.5" customHeight="1" x14ac:dyDescent="0.3">
      <c r="A379" s="3">
        <v>2016</v>
      </c>
      <c r="B379" s="4">
        <v>42552</v>
      </c>
      <c r="C379" s="3">
        <v>3000</v>
      </c>
      <c r="D379" s="10" t="s">
        <v>152</v>
      </c>
      <c r="E379" s="6">
        <v>915767.8</v>
      </c>
      <c r="F379" s="6">
        <f>905767.8+54253.51</f>
        <v>960021.31</v>
      </c>
      <c r="G379" s="6">
        <f>315853.31+54253.51</f>
        <v>370106.82</v>
      </c>
      <c r="H379" s="3">
        <v>3300</v>
      </c>
      <c r="I379" s="10" t="s">
        <v>152</v>
      </c>
      <c r="J379" s="6">
        <v>915767.8</v>
      </c>
      <c r="K379" s="6">
        <f>905767.8+54253.51</f>
        <v>960021.31</v>
      </c>
      <c r="L379" s="6">
        <f>315853.31+54253.51</f>
        <v>370106.82</v>
      </c>
      <c r="M379" s="23">
        <v>372</v>
      </c>
      <c r="N379" s="7" t="s">
        <v>238</v>
      </c>
      <c r="O379" s="20" t="s">
        <v>245</v>
      </c>
      <c r="P379" s="20" t="s">
        <v>245</v>
      </c>
      <c r="Q379" s="20" t="s">
        <v>245</v>
      </c>
      <c r="R379" s="21">
        <v>42653</v>
      </c>
      <c r="S379" s="22" t="s">
        <v>246</v>
      </c>
      <c r="T379" s="22">
        <v>2016</v>
      </c>
      <c r="U379" s="21">
        <v>42643</v>
      </c>
      <c r="V379" s="22"/>
    </row>
    <row r="380" spans="1:22" ht="19.5" customHeight="1" x14ac:dyDescent="0.3">
      <c r="A380" s="3">
        <v>2016</v>
      </c>
      <c r="B380" s="4">
        <v>42552</v>
      </c>
      <c r="C380" s="3">
        <v>3000</v>
      </c>
      <c r="D380" s="10" t="s">
        <v>153</v>
      </c>
      <c r="E380" s="6">
        <v>562620</v>
      </c>
      <c r="F380" s="6">
        <f>958784.6+394873.33+10000</f>
        <v>1363657.93</v>
      </c>
      <c r="G380" s="6">
        <f>17569.6+243357.76</f>
        <v>260927.36000000002</v>
      </c>
      <c r="H380" s="3">
        <v>3300</v>
      </c>
      <c r="I380" s="10" t="s">
        <v>153</v>
      </c>
      <c r="J380" s="6">
        <v>562620</v>
      </c>
      <c r="K380" s="6">
        <f>958784.6+394873.33+10000</f>
        <v>1363657.93</v>
      </c>
      <c r="L380" s="6">
        <f>17569.6+243357.76</f>
        <v>260927.36000000002</v>
      </c>
      <c r="M380" s="19">
        <v>373</v>
      </c>
      <c r="N380" s="7" t="s">
        <v>238</v>
      </c>
      <c r="O380" s="20" t="s">
        <v>245</v>
      </c>
      <c r="P380" s="20" t="s">
        <v>245</v>
      </c>
      <c r="Q380" s="20" t="s">
        <v>245</v>
      </c>
      <c r="R380" s="21">
        <v>42653</v>
      </c>
      <c r="S380" s="22" t="s">
        <v>246</v>
      </c>
      <c r="T380" s="22">
        <v>2016</v>
      </c>
      <c r="U380" s="21">
        <v>42643</v>
      </c>
      <c r="V380" s="22"/>
    </row>
    <row r="381" spans="1:22" ht="19.5" customHeight="1" x14ac:dyDescent="0.3">
      <c r="A381" s="3">
        <v>2016</v>
      </c>
      <c r="B381" s="4">
        <v>42552</v>
      </c>
      <c r="C381" s="3">
        <v>3000</v>
      </c>
      <c r="D381" s="10" t="s">
        <v>154</v>
      </c>
      <c r="E381" s="6">
        <v>25024141.940000001</v>
      </c>
      <c r="F381" s="6">
        <f>24894141.94+6597718.95</f>
        <v>31491860.890000001</v>
      </c>
      <c r="G381" s="6">
        <f>11979184.05+6597718.95</f>
        <v>18576903</v>
      </c>
      <c r="H381" s="3">
        <v>3300</v>
      </c>
      <c r="I381" s="10" t="s">
        <v>154</v>
      </c>
      <c r="J381" s="6">
        <v>25024141.940000001</v>
      </c>
      <c r="K381" s="6">
        <f>24894141.94+6597718.95</f>
        <v>31491860.890000001</v>
      </c>
      <c r="L381" s="6">
        <f>11979184.05+6597718.95</f>
        <v>18576903</v>
      </c>
      <c r="M381" s="23">
        <v>374</v>
      </c>
      <c r="N381" s="7" t="s">
        <v>238</v>
      </c>
      <c r="O381" s="20" t="s">
        <v>245</v>
      </c>
      <c r="P381" s="20" t="s">
        <v>245</v>
      </c>
      <c r="Q381" s="20" t="s">
        <v>245</v>
      </c>
      <c r="R381" s="21">
        <v>42653</v>
      </c>
      <c r="S381" s="22" t="s">
        <v>246</v>
      </c>
      <c r="T381" s="22">
        <v>2016</v>
      </c>
      <c r="U381" s="21">
        <v>42643</v>
      </c>
      <c r="V381" s="22"/>
    </row>
    <row r="382" spans="1:22" ht="19.5" customHeight="1" x14ac:dyDescent="0.3">
      <c r="A382" s="3">
        <v>2016</v>
      </c>
      <c r="B382" s="4">
        <v>42552</v>
      </c>
      <c r="C382" s="3">
        <v>3000</v>
      </c>
      <c r="D382" s="10" t="s">
        <v>155</v>
      </c>
      <c r="E382" s="6">
        <v>2141791.66</v>
      </c>
      <c r="F382" s="6">
        <f>1897759.62+328825.2</f>
        <v>2226584.8200000003</v>
      </c>
      <c r="G382" s="6">
        <f>378931.84+170715</f>
        <v>549646.84000000008</v>
      </c>
      <c r="H382" s="3">
        <v>3300</v>
      </c>
      <c r="I382" s="10" t="s">
        <v>155</v>
      </c>
      <c r="J382" s="6">
        <v>2141791.66</v>
      </c>
      <c r="K382" s="6">
        <f>1897759.62+328825.2</f>
        <v>2226584.8200000003</v>
      </c>
      <c r="L382" s="6">
        <f>378931.84+170715</f>
        <v>549646.84000000008</v>
      </c>
      <c r="M382" s="19">
        <v>375</v>
      </c>
      <c r="N382" s="7" t="s">
        <v>238</v>
      </c>
      <c r="O382" s="20" t="s">
        <v>245</v>
      </c>
      <c r="P382" s="20" t="s">
        <v>245</v>
      </c>
      <c r="Q382" s="20" t="s">
        <v>245</v>
      </c>
      <c r="R382" s="21">
        <v>42653</v>
      </c>
      <c r="S382" s="22" t="s">
        <v>246</v>
      </c>
      <c r="T382" s="22">
        <v>2016</v>
      </c>
      <c r="U382" s="21">
        <v>42643</v>
      </c>
      <c r="V382" s="22"/>
    </row>
    <row r="383" spans="1:22" ht="19.5" customHeight="1" x14ac:dyDescent="0.3">
      <c r="A383" s="3">
        <v>2016</v>
      </c>
      <c r="B383" s="4">
        <v>42552</v>
      </c>
      <c r="C383" s="3">
        <v>3000</v>
      </c>
      <c r="D383" s="7" t="s">
        <v>156</v>
      </c>
      <c r="E383" s="6">
        <v>15000</v>
      </c>
      <c r="F383" s="6">
        <v>3000</v>
      </c>
      <c r="G383" s="6">
        <v>751.68</v>
      </c>
      <c r="H383" s="3">
        <v>3400</v>
      </c>
      <c r="I383" s="7" t="s">
        <v>156</v>
      </c>
      <c r="J383" s="6">
        <v>15000</v>
      </c>
      <c r="K383" s="6">
        <v>3000</v>
      </c>
      <c r="L383" s="6">
        <v>751.68</v>
      </c>
      <c r="M383" s="23">
        <v>376</v>
      </c>
      <c r="N383" s="7" t="s">
        <v>238</v>
      </c>
      <c r="O383" s="20" t="s">
        <v>245</v>
      </c>
      <c r="P383" s="20" t="s">
        <v>245</v>
      </c>
      <c r="Q383" s="20" t="s">
        <v>245</v>
      </c>
      <c r="R383" s="21">
        <v>42653</v>
      </c>
      <c r="S383" s="22" t="s">
        <v>246</v>
      </c>
      <c r="T383" s="22">
        <v>2016</v>
      </c>
      <c r="U383" s="21">
        <v>42643</v>
      </c>
      <c r="V383" s="22"/>
    </row>
    <row r="384" spans="1:22" ht="19.5" customHeight="1" x14ac:dyDescent="0.3">
      <c r="A384" s="3">
        <v>2016</v>
      </c>
      <c r="B384" s="4">
        <v>42552</v>
      </c>
      <c r="C384" s="3">
        <v>3000</v>
      </c>
      <c r="D384" s="10" t="s">
        <v>157</v>
      </c>
      <c r="E384" s="6">
        <v>2502790</v>
      </c>
      <c r="F384" s="6">
        <v>1052790</v>
      </c>
      <c r="G384" s="6">
        <v>94067.18</v>
      </c>
      <c r="H384" s="3">
        <v>3400</v>
      </c>
      <c r="I384" s="10" t="s">
        <v>157</v>
      </c>
      <c r="J384" s="6">
        <v>2502790</v>
      </c>
      <c r="K384" s="6">
        <v>1052790</v>
      </c>
      <c r="L384" s="6">
        <v>94067.18</v>
      </c>
      <c r="M384" s="19">
        <v>377</v>
      </c>
      <c r="N384" s="7" t="s">
        <v>238</v>
      </c>
      <c r="O384" s="20" t="s">
        <v>245</v>
      </c>
      <c r="P384" s="20" t="s">
        <v>245</v>
      </c>
      <c r="Q384" s="20" t="s">
        <v>245</v>
      </c>
      <c r="R384" s="21">
        <v>42653</v>
      </c>
      <c r="S384" s="22" t="s">
        <v>246</v>
      </c>
      <c r="T384" s="22">
        <v>2016</v>
      </c>
      <c r="U384" s="21">
        <v>42643</v>
      </c>
      <c r="V384" s="22"/>
    </row>
    <row r="385" spans="1:22" ht="19.5" customHeight="1" x14ac:dyDescent="0.3">
      <c r="A385" s="3">
        <v>2016</v>
      </c>
      <c r="B385" s="4">
        <v>42552</v>
      </c>
      <c r="C385" s="3">
        <v>3000</v>
      </c>
      <c r="D385" s="10" t="s">
        <v>158</v>
      </c>
      <c r="E385" s="6">
        <v>0</v>
      </c>
      <c r="F385" s="6">
        <f>2790+85000</f>
        <v>87790</v>
      </c>
      <c r="G385" s="6">
        <v>2790</v>
      </c>
      <c r="H385" s="3">
        <v>3400</v>
      </c>
      <c r="I385" s="10" t="s">
        <v>158</v>
      </c>
      <c r="J385" s="6">
        <v>0</v>
      </c>
      <c r="K385" s="6">
        <f>2790+85000</f>
        <v>87790</v>
      </c>
      <c r="L385" s="6">
        <v>2790</v>
      </c>
      <c r="M385" s="23">
        <v>378</v>
      </c>
      <c r="N385" s="7" t="s">
        <v>238</v>
      </c>
      <c r="O385" s="20" t="s">
        <v>245</v>
      </c>
      <c r="P385" s="20" t="s">
        <v>245</v>
      </c>
      <c r="Q385" s="20" t="s">
        <v>245</v>
      </c>
      <c r="R385" s="21">
        <v>42653</v>
      </c>
      <c r="S385" s="22" t="s">
        <v>246</v>
      </c>
      <c r="T385" s="22">
        <v>2016</v>
      </c>
      <c r="U385" s="21">
        <v>42643</v>
      </c>
      <c r="V385" s="22"/>
    </row>
    <row r="386" spans="1:22" ht="19.5" customHeight="1" x14ac:dyDescent="0.3">
      <c r="A386" s="3">
        <v>2016</v>
      </c>
      <c r="B386" s="4">
        <v>42552</v>
      </c>
      <c r="C386" s="3">
        <v>3000</v>
      </c>
      <c r="D386" s="10" t="s">
        <v>159</v>
      </c>
      <c r="E386" s="6">
        <v>155500</v>
      </c>
      <c r="F386" s="6">
        <v>26000</v>
      </c>
      <c r="G386" s="6">
        <v>0</v>
      </c>
      <c r="H386" s="3">
        <v>3400</v>
      </c>
      <c r="I386" s="10" t="s">
        <v>159</v>
      </c>
      <c r="J386" s="6">
        <v>155500</v>
      </c>
      <c r="K386" s="6">
        <v>26000</v>
      </c>
      <c r="L386" s="6">
        <v>0</v>
      </c>
      <c r="M386" s="19">
        <v>379</v>
      </c>
      <c r="N386" s="7" t="s">
        <v>238</v>
      </c>
      <c r="O386" s="20" t="s">
        <v>245</v>
      </c>
      <c r="P386" s="20" t="s">
        <v>245</v>
      </c>
      <c r="Q386" s="20" t="s">
        <v>245</v>
      </c>
      <c r="R386" s="21">
        <v>42653</v>
      </c>
      <c r="S386" s="22" t="s">
        <v>246</v>
      </c>
      <c r="T386" s="22">
        <v>2016</v>
      </c>
      <c r="U386" s="21">
        <v>42643</v>
      </c>
      <c r="V386" s="22"/>
    </row>
    <row r="387" spans="1:22" ht="19.5" customHeight="1" x14ac:dyDescent="0.3">
      <c r="A387" s="3">
        <v>2016</v>
      </c>
      <c r="B387" s="4">
        <v>42552</v>
      </c>
      <c r="C387" s="3">
        <v>3000</v>
      </c>
      <c r="D387" s="10" t="s">
        <v>160</v>
      </c>
      <c r="E387" s="6">
        <v>0</v>
      </c>
      <c r="F387" s="6">
        <f>275807.66+167200</f>
        <v>443007.66</v>
      </c>
      <c r="G387" s="6">
        <v>0</v>
      </c>
      <c r="H387" s="3">
        <v>3500</v>
      </c>
      <c r="I387" s="10" t="s">
        <v>160</v>
      </c>
      <c r="J387" s="6">
        <v>0</v>
      </c>
      <c r="K387" s="6">
        <f>275807.66+167200</f>
        <v>443007.66</v>
      </c>
      <c r="L387" s="6">
        <v>0</v>
      </c>
      <c r="M387" s="23">
        <v>380</v>
      </c>
      <c r="N387" s="7" t="s">
        <v>238</v>
      </c>
      <c r="O387" s="20" t="s">
        <v>245</v>
      </c>
      <c r="P387" s="20" t="s">
        <v>245</v>
      </c>
      <c r="Q387" s="20" t="s">
        <v>245</v>
      </c>
      <c r="R387" s="21">
        <v>42653</v>
      </c>
      <c r="S387" s="22" t="s">
        <v>246</v>
      </c>
      <c r="T387" s="22">
        <v>2016</v>
      </c>
      <c r="U387" s="21">
        <v>42643</v>
      </c>
      <c r="V387" s="22"/>
    </row>
    <row r="388" spans="1:22" ht="19.5" customHeight="1" x14ac:dyDescent="0.3">
      <c r="A388" s="3">
        <v>2016</v>
      </c>
      <c r="B388" s="4">
        <v>42552</v>
      </c>
      <c r="C388" s="3">
        <v>3000</v>
      </c>
      <c r="D388" s="10" t="s">
        <v>161</v>
      </c>
      <c r="E388" s="6">
        <v>141149</v>
      </c>
      <c r="F388" s="6">
        <f>71956.01</f>
        <v>71956.009999999995</v>
      </c>
      <c r="G388" s="6">
        <v>3052.01</v>
      </c>
      <c r="H388" s="3">
        <v>3500</v>
      </c>
      <c r="I388" s="10" t="s">
        <v>161</v>
      </c>
      <c r="J388" s="6">
        <v>141149</v>
      </c>
      <c r="K388" s="6">
        <f>71956.01</f>
        <v>71956.009999999995</v>
      </c>
      <c r="L388" s="6">
        <v>3052.01</v>
      </c>
      <c r="M388" s="19">
        <v>381</v>
      </c>
      <c r="N388" s="7" t="s">
        <v>238</v>
      </c>
      <c r="O388" s="20" t="s">
        <v>245</v>
      </c>
      <c r="P388" s="20" t="s">
        <v>245</v>
      </c>
      <c r="Q388" s="20" t="s">
        <v>245</v>
      </c>
      <c r="R388" s="21">
        <v>42653</v>
      </c>
      <c r="S388" s="22" t="s">
        <v>246</v>
      </c>
      <c r="T388" s="22">
        <v>2016</v>
      </c>
      <c r="U388" s="21">
        <v>42643</v>
      </c>
      <c r="V388" s="22"/>
    </row>
    <row r="389" spans="1:22" ht="19.5" customHeight="1" x14ac:dyDescent="0.3">
      <c r="A389" s="3">
        <v>2016</v>
      </c>
      <c r="B389" s="4">
        <v>42552</v>
      </c>
      <c r="C389" s="3">
        <v>3000</v>
      </c>
      <c r="D389" s="10" t="s">
        <v>162</v>
      </c>
      <c r="E389" s="6">
        <v>6090579.7999999998</v>
      </c>
      <c r="F389" s="6">
        <f>4112000+73443.08</f>
        <v>4185443.08</v>
      </c>
      <c r="G389" s="6">
        <f>3594510.86+41644</f>
        <v>3636154.86</v>
      </c>
      <c r="H389" s="3">
        <v>3500</v>
      </c>
      <c r="I389" s="10" t="s">
        <v>162</v>
      </c>
      <c r="J389" s="6">
        <v>6090579.7999999998</v>
      </c>
      <c r="K389" s="6">
        <f>4112000+73443.08</f>
        <v>4185443.08</v>
      </c>
      <c r="L389" s="6">
        <f>3594510.86+41644</f>
        <v>3636154.86</v>
      </c>
      <c r="M389" s="23">
        <v>382</v>
      </c>
      <c r="N389" s="7" t="s">
        <v>238</v>
      </c>
      <c r="O389" s="20" t="s">
        <v>245</v>
      </c>
      <c r="P389" s="20" t="s">
        <v>245</v>
      </c>
      <c r="Q389" s="20" t="s">
        <v>245</v>
      </c>
      <c r="R389" s="21">
        <v>42653</v>
      </c>
      <c r="S389" s="22" t="s">
        <v>246</v>
      </c>
      <c r="T389" s="22">
        <v>2016</v>
      </c>
      <c r="U389" s="21">
        <v>42643</v>
      </c>
      <c r="V389" s="22"/>
    </row>
    <row r="390" spans="1:22" ht="19.5" customHeight="1" x14ac:dyDescent="0.3">
      <c r="A390" s="3">
        <v>2016</v>
      </c>
      <c r="B390" s="4">
        <v>42552</v>
      </c>
      <c r="C390" s="3">
        <v>3000</v>
      </c>
      <c r="D390" s="10" t="s">
        <v>163</v>
      </c>
      <c r="E390" s="6">
        <v>5000</v>
      </c>
      <c r="F390" s="6">
        <f>145587.6+808446.04</f>
        <v>954033.64</v>
      </c>
      <c r="G390" s="6">
        <f>9280+156855.2</f>
        <v>166135.20000000001</v>
      </c>
      <c r="H390" s="3">
        <v>3500</v>
      </c>
      <c r="I390" s="10" t="s">
        <v>163</v>
      </c>
      <c r="J390" s="6">
        <v>5000</v>
      </c>
      <c r="K390" s="6">
        <f>145587.6+808446.04</f>
        <v>954033.64</v>
      </c>
      <c r="L390" s="6">
        <f>9280+156855.2</f>
        <v>166135.20000000001</v>
      </c>
      <c r="M390" s="19">
        <v>383</v>
      </c>
      <c r="N390" s="7" t="s">
        <v>238</v>
      </c>
      <c r="O390" s="20" t="s">
        <v>245</v>
      </c>
      <c r="P390" s="20" t="s">
        <v>245</v>
      </c>
      <c r="Q390" s="20" t="s">
        <v>245</v>
      </c>
      <c r="R390" s="21">
        <v>42653</v>
      </c>
      <c r="S390" s="22" t="s">
        <v>246</v>
      </c>
      <c r="T390" s="22">
        <v>2016</v>
      </c>
      <c r="U390" s="21">
        <v>42643</v>
      </c>
      <c r="V390" s="22"/>
    </row>
    <row r="391" spans="1:22" ht="19.5" customHeight="1" x14ac:dyDescent="0.3">
      <c r="A391" s="3">
        <v>2016</v>
      </c>
      <c r="B391" s="4">
        <v>42552</v>
      </c>
      <c r="C391" s="3">
        <v>3000</v>
      </c>
      <c r="D391" s="10" t="s">
        <v>164</v>
      </c>
      <c r="E391" s="6">
        <v>460416.67</v>
      </c>
      <c r="F391" s="6">
        <f>460416.67+27724</f>
        <v>488140.67</v>
      </c>
      <c r="G391" s="6">
        <f>207246.59+27724</f>
        <v>234970.59</v>
      </c>
      <c r="H391" s="3">
        <v>3500</v>
      </c>
      <c r="I391" s="10" t="s">
        <v>164</v>
      </c>
      <c r="J391" s="6">
        <v>460416.67</v>
      </c>
      <c r="K391" s="6">
        <f>460416.67+27724</f>
        <v>488140.67</v>
      </c>
      <c r="L391" s="6">
        <f>207246.59+27724</f>
        <v>234970.59</v>
      </c>
      <c r="M391" s="23">
        <v>384</v>
      </c>
      <c r="N391" s="7" t="s">
        <v>238</v>
      </c>
      <c r="O391" s="20" t="s">
        <v>245</v>
      </c>
      <c r="P391" s="20" t="s">
        <v>245</v>
      </c>
      <c r="Q391" s="20" t="s">
        <v>245</v>
      </c>
      <c r="R391" s="21">
        <v>42653</v>
      </c>
      <c r="S391" s="22" t="s">
        <v>246</v>
      </c>
      <c r="T391" s="22">
        <v>2016</v>
      </c>
      <c r="U391" s="21">
        <v>42643</v>
      </c>
      <c r="V391" s="22"/>
    </row>
    <row r="392" spans="1:22" ht="19.5" customHeight="1" x14ac:dyDescent="0.3">
      <c r="A392" s="3">
        <v>2016</v>
      </c>
      <c r="B392" s="4">
        <v>42552</v>
      </c>
      <c r="C392" s="3">
        <v>3000</v>
      </c>
      <c r="D392" s="10" t="s">
        <v>165</v>
      </c>
      <c r="E392" s="6">
        <v>395000</v>
      </c>
      <c r="F392" s="6">
        <f>357782+188573.08</f>
        <v>546355.07999999996</v>
      </c>
      <c r="G392" s="6">
        <f>82170.78+188573.08</f>
        <v>270743.86</v>
      </c>
      <c r="H392" s="3">
        <v>3500</v>
      </c>
      <c r="I392" s="10" t="s">
        <v>165</v>
      </c>
      <c r="J392" s="6">
        <v>395000</v>
      </c>
      <c r="K392" s="6">
        <f>357782+188573.08</f>
        <v>546355.07999999996</v>
      </c>
      <c r="L392" s="6">
        <f>82170.78+188573.08</f>
        <v>270743.86</v>
      </c>
      <c r="M392" s="19">
        <v>385</v>
      </c>
      <c r="N392" s="7" t="s">
        <v>238</v>
      </c>
      <c r="O392" s="20" t="s">
        <v>245</v>
      </c>
      <c r="P392" s="20" t="s">
        <v>245</v>
      </c>
      <c r="Q392" s="20" t="s">
        <v>245</v>
      </c>
      <c r="R392" s="21">
        <v>42653</v>
      </c>
      <c r="S392" s="22" t="s">
        <v>246</v>
      </c>
      <c r="T392" s="22">
        <v>2016</v>
      </c>
      <c r="U392" s="21">
        <v>42643</v>
      </c>
      <c r="V392" s="22"/>
    </row>
    <row r="393" spans="1:22" ht="19.5" customHeight="1" x14ac:dyDescent="0.3">
      <c r="A393" s="3">
        <v>2016</v>
      </c>
      <c r="B393" s="4">
        <v>42552</v>
      </c>
      <c r="C393" s="3">
        <v>3000</v>
      </c>
      <c r="D393" s="10" t="s">
        <v>166</v>
      </c>
      <c r="E393" s="6">
        <v>863783.84</v>
      </c>
      <c r="F393" s="6">
        <f>3083075.17+1641966.15</f>
        <v>4725041.32</v>
      </c>
      <c r="G393" s="6">
        <f>684218.59+347033.53</f>
        <v>1031252.12</v>
      </c>
      <c r="H393" s="3">
        <v>3500</v>
      </c>
      <c r="I393" s="10" t="s">
        <v>166</v>
      </c>
      <c r="J393" s="6">
        <v>863783.84</v>
      </c>
      <c r="K393" s="6">
        <f>3083075.17+1641966.15</f>
        <v>4725041.32</v>
      </c>
      <c r="L393" s="6">
        <f>684218.59+347033.53</f>
        <v>1031252.12</v>
      </c>
      <c r="M393" s="23">
        <v>386</v>
      </c>
      <c r="N393" s="7" t="s">
        <v>238</v>
      </c>
      <c r="O393" s="20" t="s">
        <v>245</v>
      </c>
      <c r="P393" s="20" t="s">
        <v>245</v>
      </c>
      <c r="Q393" s="20" t="s">
        <v>245</v>
      </c>
      <c r="R393" s="21">
        <v>42653</v>
      </c>
      <c r="S393" s="22" t="s">
        <v>246</v>
      </c>
      <c r="T393" s="22">
        <v>2016</v>
      </c>
      <c r="U393" s="21">
        <v>42643</v>
      </c>
      <c r="V393" s="22"/>
    </row>
    <row r="394" spans="1:22" ht="19.5" customHeight="1" x14ac:dyDescent="0.3">
      <c r="A394" s="3">
        <v>2016</v>
      </c>
      <c r="B394" s="4">
        <v>42552</v>
      </c>
      <c r="C394" s="3">
        <v>3000</v>
      </c>
      <c r="D394" s="10" t="s">
        <v>167</v>
      </c>
      <c r="E394" s="6">
        <v>124128</v>
      </c>
      <c r="F394" s="6">
        <f>124128+115599.8</f>
        <v>239727.8</v>
      </c>
      <c r="G394" s="6">
        <f>7424+115599.8</f>
        <v>123023.8</v>
      </c>
      <c r="H394" s="3">
        <v>3500</v>
      </c>
      <c r="I394" s="10" t="s">
        <v>167</v>
      </c>
      <c r="J394" s="6">
        <v>124128</v>
      </c>
      <c r="K394" s="6">
        <f>124128+115599.8</f>
        <v>239727.8</v>
      </c>
      <c r="L394" s="6">
        <f>7424+115599.8</f>
        <v>123023.8</v>
      </c>
      <c r="M394" s="19">
        <v>387</v>
      </c>
      <c r="N394" s="7" t="s">
        <v>238</v>
      </c>
      <c r="O394" s="20" t="s">
        <v>245</v>
      </c>
      <c r="P394" s="20" t="s">
        <v>245</v>
      </c>
      <c r="Q394" s="20" t="s">
        <v>245</v>
      </c>
      <c r="R394" s="21">
        <v>42653</v>
      </c>
      <c r="S394" s="22" t="s">
        <v>246</v>
      </c>
      <c r="T394" s="22">
        <v>2016</v>
      </c>
      <c r="U394" s="21">
        <v>42643</v>
      </c>
      <c r="V394" s="22"/>
    </row>
    <row r="395" spans="1:22" ht="19.5" customHeight="1" x14ac:dyDescent="0.3">
      <c r="A395" s="3">
        <v>2016</v>
      </c>
      <c r="B395" s="4">
        <v>42552</v>
      </c>
      <c r="C395" s="3">
        <v>3000</v>
      </c>
      <c r="D395" s="10" t="s">
        <v>168</v>
      </c>
      <c r="E395" s="6">
        <v>239163.2</v>
      </c>
      <c r="F395" s="6">
        <f>355044+48284.2</f>
        <v>403328.2</v>
      </c>
      <c r="G395" s="6">
        <f>102486+32509</f>
        <v>134995</v>
      </c>
      <c r="H395" s="3">
        <v>3500</v>
      </c>
      <c r="I395" s="10" t="s">
        <v>168</v>
      </c>
      <c r="J395" s="6">
        <v>239163.2</v>
      </c>
      <c r="K395" s="6">
        <f>355044+48284.2</f>
        <v>403328.2</v>
      </c>
      <c r="L395" s="6">
        <f>102486+32509</f>
        <v>134995</v>
      </c>
      <c r="M395" s="23">
        <v>388</v>
      </c>
      <c r="N395" s="7" t="s">
        <v>238</v>
      </c>
      <c r="O395" s="20" t="s">
        <v>245</v>
      </c>
      <c r="P395" s="20" t="s">
        <v>245</v>
      </c>
      <c r="Q395" s="20" t="s">
        <v>245</v>
      </c>
      <c r="R395" s="21">
        <v>42653</v>
      </c>
      <c r="S395" s="22" t="s">
        <v>246</v>
      </c>
      <c r="T395" s="22">
        <v>2016</v>
      </c>
      <c r="U395" s="21">
        <v>42643</v>
      </c>
      <c r="V395" s="22"/>
    </row>
    <row r="396" spans="1:22" ht="19.5" customHeight="1" x14ac:dyDescent="0.3">
      <c r="A396" s="3">
        <v>2016</v>
      </c>
      <c r="B396" s="4">
        <v>42552</v>
      </c>
      <c r="C396" s="3">
        <v>3000</v>
      </c>
      <c r="D396" s="12" t="s">
        <v>169</v>
      </c>
      <c r="E396" s="6">
        <v>5335410</v>
      </c>
      <c r="F396" s="6">
        <f>5085594.12+54741.59</f>
        <v>5140335.71</v>
      </c>
      <c r="G396" s="6">
        <f>1661697.09+54741.59</f>
        <v>1716438.6800000002</v>
      </c>
      <c r="H396" s="3">
        <v>3600</v>
      </c>
      <c r="I396" s="12" t="s">
        <v>169</v>
      </c>
      <c r="J396" s="6">
        <v>5335410</v>
      </c>
      <c r="K396" s="6">
        <f>5085594.12+54741.59</f>
        <v>5140335.71</v>
      </c>
      <c r="L396" s="6">
        <f>1661697.09+54741.59</f>
        <v>1716438.6800000002</v>
      </c>
      <c r="M396" s="19">
        <v>389</v>
      </c>
      <c r="N396" s="7" t="s">
        <v>238</v>
      </c>
      <c r="O396" s="20" t="s">
        <v>245</v>
      </c>
      <c r="P396" s="20" t="s">
        <v>245</v>
      </c>
      <c r="Q396" s="20" t="s">
        <v>245</v>
      </c>
      <c r="R396" s="21">
        <v>42653</v>
      </c>
      <c r="S396" s="22" t="s">
        <v>246</v>
      </c>
      <c r="T396" s="22">
        <v>2016</v>
      </c>
      <c r="U396" s="21">
        <v>42643</v>
      </c>
      <c r="V396" s="22"/>
    </row>
    <row r="397" spans="1:22" ht="19.5" customHeight="1" x14ac:dyDescent="0.3">
      <c r="A397" s="3">
        <v>2016</v>
      </c>
      <c r="B397" s="4">
        <v>42552</v>
      </c>
      <c r="C397" s="3">
        <v>3000</v>
      </c>
      <c r="D397" s="7" t="s">
        <v>222</v>
      </c>
      <c r="E397" s="6">
        <v>0</v>
      </c>
      <c r="F397" s="6">
        <v>0</v>
      </c>
      <c r="G397" s="6">
        <v>0</v>
      </c>
      <c r="H397" s="3">
        <v>3600</v>
      </c>
      <c r="I397" s="7" t="s">
        <v>222</v>
      </c>
      <c r="J397" s="6">
        <v>0</v>
      </c>
      <c r="K397" s="6">
        <v>0</v>
      </c>
      <c r="L397" s="6">
        <v>0</v>
      </c>
      <c r="M397" s="23">
        <v>390</v>
      </c>
      <c r="N397" s="7" t="s">
        <v>238</v>
      </c>
      <c r="O397" s="20" t="s">
        <v>245</v>
      </c>
      <c r="P397" s="20" t="s">
        <v>245</v>
      </c>
      <c r="Q397" s="20" t="s">
        <v>245</v>
      </c>
      <c r="R397" s="21">
        <v>42653</v>
      </c>
      <c r="S397" s="22" t="s">
        <v>246</v>
      </c>
      <c r="T397" s="22">
        <v>2016</v>
      </c>
      <c r="U397" s="21">
        <v>42643</v>
      </c>
      <c r="V397" s="22"/>
    </row>
    <row r="398" spans="1:22" ht="19.5" customHeight="1" x14ac:dyDescent="0.3">
      <c r="A398" s="3">
        <v>2016</v>
      </c>
      <c r="B398" s="4">
        <v>42552</v>
      </c>
      <c r="C398" s="3">
        <v>3000</v>
      </c>
      <c r="D398" s="7" t="s">
        <v>170</v>
      </c>
      <c r="E398" s="6">
        <v>84000</v>
      </c>
      <c r="F398" s="6">
        <v>141983.20000000001</v>
      </c>
      <c r="G398" s="6">
        <v>0</v>
      </c>
      <c r="H398" s="3">
        <v>3600</v>
      </c>
      <c r="I398" s="7" t="s">
        <v>170</v>
      </c>
      <c r="J398" s="6">
        <v>84000</v>
      </c>
      <c r="K398" s="6">
        <v>141983.20000000001</v>
      </c>
      <c r="L398" s="6">
        <v>0</v>
      </c>
      <c r="M398" s="19">
        <v>391</v>
      </c>
      <c r="N398" s="7" t="s">
        <v>238</v>
      </c>
      <c r="O398" s="20" t="s">
        <v>245</v>
      </c>
      <c r="P398" s="20" t="s">
        <v>245</v>
      </c>
      <c r="Q398" s="20" t="s">
        <v>245</v>
      </c>
      <c r="R398" s="21">
        <v>42653</v>
      </c>
      <c r="S398" s="22" t="s">
        <v>246</v>
      </c>
      <c r="T398" s="22">
        <v>2016</v>
      </c>
      <c r="U398" s="21">
        <v>42643</v>
      </c>
      <c r="V398" s="22"/>
    </row>
    <row r="399" spans="1:22" ht="19.5" customHeight="1" x14ac:dyDescent="0.3">
      <c r="A399" s="3">
        <v>2016</v>
      </c>
      <c r="B399" s="4">
        <v>42552</v>
      </c>
      <c r="C399" s="3">
        <v>3000</v>
      </c>
      <c r="D399" s="10" t="s">
        <v>171</v>
      </c>
      <c r="E399" s="6">
        <v>118008</v>
      </c>
      <c r="F399" s="6">
        <v>29240.01</v>
      </c>
      <c r="G399" s="6">
        <v>14790</v>
      </c>
      <c r="H399" s="3">
        <v>3600</v>
      </c>
      <c r="I399" s="10" t="s">
        <v>171</v>
      </c>
      <c r="J399" s="6">
        <v>118008</v>
      </c>
      <c r="K399" s="6">
        <v>29240.01</v>
      </c>
      <c r="L399" s="6">
        <v>14790</v>
      </c>
      <c r="M399" s="23">
        <v>392</v>
      </c>
      <c r="N399" s="7" t="s">
        <v>238</v>
      </c>
      <c r="O399" s="20" t="s">
        <v>245</v>
      </c>
      <c r="P399" s="20" t="s">
        <v>245</v>
      </c>
      <c r="Q399" s="20" t="s">
        <v>245</v>
      </c>
      <c r="R399" s="21">
        <v>42653</v>
      </c>
      <c r="S399" s="22" t="s">
        <v>246</v>
      </c>
      <c r="T399" s="22">
        <v>2016</v>
      </c>
      <c r="U399" s="21">
        <v>42643</v>
      </c>
      <c r="V399" s="22"/>
    </row>
    <row r="400" spans="1:22" ht="19.5" customHeight="1" x14ac:dyDescent="0.3">
      <c r="A400" s="3">
        <v>2016</v>
      </c>
      <c r="B400" s="4">
        <v>42552</v>
      </c>
      <c r="C400" s="3">
        <v>3000</v>
      </c>
      <c r="D400" s="7" t="s">
        <v>172</v>
      </c>
      <c r="E400" s="6">
        <v>1000</v>
      </c>
      <c r="F400" s="6">
        <v>222028.47</v>
      </c>
      <c r="G400" s="6">
        <v>72500</v>
      </c>
      <c r="H400" s="3">
        <v>3600</v>
      </c>
      <c r="I400" s="7" t="s">
        <v>172</v>
      </c>
      <c r="J400" s="6">
        <v>1000</v>
      </c>
      <c r="K400" s="6">
        <v>222028.47</v>
      </c>
      <c r="L400" s="6">
        <v>72500</v>
      </c>
      <c r="M400" s="19">
        <v>393</v>
      </c>
      <c r="N400" s="7" t="s">
        <v>238</v>
      </c>
      <c r="O400" s="20" t="s">
        <v>245</v>
      </c>
      <c r="P400" s="20" t="s">
        <v>245</v>
      </c>
      <c r="Q400" s="20" t="s">
        <v>245</v>
      </c>
      <c r="R400" s="21">
        <v>42653</v>
      </c>
      <c r="S400" s="22" t="s">
        <v>246</v>
      </c>
      <c r="T400" s="22">
        <v>2016</v>
      </c>
      <c r="U400" s="21">
        <v>42643</v>
      </c>
      <c r="V400" s="22"/>
    </row>
    <row r="401" spans="1:22" ht="19.5" customHeight="1" x14ac:dyDescent="0.3">
      <c r="A401" s="3">
        <v>2016</v>
      </c>
      <c r="B401" s="4">
        <v>42552</v>
      </c>
      <c r="C401" s="3">
        <v>3000</v>
      </c>
      <c r="D401" s="10" t="s">
        <v>173</v>
      </c>
      <c r="E401" s="6">
        <v>324100</v>
      </c>
      <c r="F401" s="6">
        <f>259239.16+5397</f>
        <v>264636.16000000003</v>
      </c>
      <c r="G401" s="6">
        <f>22277+5397</f>
        <v>27674</v>
      </c>
      <c r="H401" s="3">
        <v>3700</v>
      </c>
      <c r="I401" s="10" t="s">
        <v>173</v>
      </c>
      <c r="J401" s="6">
        <v>324100</v>
      </c>
      <c r="K401" s="6">
        <f>259239.16+5397</f>
        <v>264636.16000000003</v>
      </c>
      <c r="L401" s="6">
        <f>22277+5397</f>
        <v>27674</v>
      </c>
      <c r="M401" s="23">
        <v>394</v>
      </c>
      <c r="N401" s="7" t="s">
        <v>238</v>
      </c>
      <c r="O401" s="20" t="s">
        <v>245</v>
      </c>
      <c r="P401" s="20" t="s">
        <v>245</v>
      </c>
      <c r="Q401" s="20" t="s">
        <v>245</v>
      </c>
      <c r="R401" s="21">
        <v>42653</v>
      </c>
      <c r="S401" s="22" t="s">
        <v>246</v>
      </c>
      <c r="T401" s="22">
        <v>2016</v>
      </c>
      <c r="U401" s="21">
        <v>42643</v>
      </c>
      <c r="V401" s="22"/>
    </row>
    <row r="402" spans="1:22" ht="19.5" customHeight="1" x14ac:dyDescent="0.3">
      <c r="A402" s="3">
        <v>2016</v>
      </c>
      <c r="B402" s="4">
        <v>42552</v>
      </c>
      <c r="C402" s="3">
        <v>3000</v>
      </c>
      <c r="D402" s="10" t="s">
        <v>174</v>
      </c>
      <c r="E402" s="6">
        <v>414840</v>
      </c>
      <c r="F402" s="6">
        <f>595231.33+22352.39</f>
        <v>617583.72</v>
      </c>
      <c r="G402" s="6">
        <f>108958.04+22352.39</f>
        <v>131310.43</v>
      </c>
      <c r="H402" s="3">
        <v>3700</v>
      </c>
      <c r="I402" s="10" t="s">
        <v>174</v>
      </c>
      <c r="J402" s="6">
        <v>414840</v>
      </c>
      <c r="K402" s="6">
        <f>595231.33+22352.39</f>
        <v>617583.72</v>
      </c>
      <c r="L402" s="6">
        <f>108958.04+22352.39</f>
        <v>131310.43</v>
      </c>
      <c r="M402" s="19">
        <v>395</v>
      </c>
      <c r="N402" s="7" t="s">
        <v>238</v>
      </c>
      <c r="O402" s="20" t="s">
        <v>245</v>
      </c>
      <c r="P402" s="20" t="s">
        <v>245</v>
      </c>
      <c r="Q402" s="20" t="s">
        <v>245</v>
      </c>
      <c r="R402" s="21">
        <v>42653</v>
      </c>
      <c r="S402" s="22" t="s">
        <v>246</v>
      </c>
      <c r="T402" s="22">
        <v>2016</v>
      </c>
      <c r="U402" s="21">
        <v>42643</v>
      </c>
      <c r="V402" s="22"/>
    </row>
    <row r="403" spans="1:22" ht="19.5" customHeight="1" x14ac:dyDescent="0.3">
      <c r="A403" s="3">
        <v>2016</v>
      </c>
      <c r="B403" s="4">
        <v>42552</v>
      </c>
      <c r="C403" s="3">
        <v>3000</v>
      </c>
      <c r="D403" s="10" t="s">
        <v>175</v>
      </c>
      <c r="E403" s="6">
        <v>59300</v>
      </c>
      <c r="F403" s="6">
        <v>88508.67</v>
      </c>
      <c r="G403" s="6">
        <v>7716</v>
      </c>
      <c r="H403" s="3">
        <v>3700</v>
      </c>
      <c r="I403" s="10" t="s">
        <v>175</v>
      </c>
      <c r="J403" s="6">
        <v>59300</v>
      </c>
      <c r="K403" s="6">
        <v>88508.67</v>
      </c>
      <c r="L403" s="6">
        <v>7716</v>
      </c>
      <c r="M403" s="23">
        <v>396</v>
      </c>
      <c r="N403" s="7" t="s">
        <v>238</v>
      </c>
      <c r="O403" s="20" t="s">
        <v>245</v>
      </c>
      <c r="P403" s="20" t="s">
        <v>245</v>
      </c>
      <c r="Q403" s="20" t="s">
        <v>245</v>
      </c>
      <c r="R403" s="21">
        <v>42653</v>
      </c>
      <c r="S403" s="22" t="s">
        <v>246</v>
      </c>
      <c r="T403" s="22">
        <v>2016</v>
      </c>
      <c r="U403" s="21">
        <v>42643</v>
      </c>
      <c r="V403" s="22"/>
    </row>
    <row r="404" spans="1:22" ht="19.5" customHeight="1" x14ac:dyDescent="0.3">
      <c r="A404" s="3">
        <v>2016</v>
      </c>
      <c r="B404" s="4">
        <v>42552</v>
      </c>
      <c r="C404" s="3">
        <v>3000</v>
      </c>
      <c r="D404" s="10" t="s">
        <v>176</v>
      </c>
      <c r="E404" s="6">
        <v>45600</v>
      </c>
      <c r="F404" s="6">
        <v>105169</v>
      </c>
      <c r="G404" s="6">
        <f>30718+633</f>
        <v>31351</v>
      </c>
      <c r="H404" s="3">
        <v>3700</v>
      </c>
      <c r="I404" s="10" t="s">
        <v>176</v>
      </c>
      <c r="J404" s="6">
        <v>45600</v>
      </c>
      <c r="K404" s="6">
        <v>105169</v>
      </c>
      <c r="L404" s="6">
        <f>30718+633</f>
        <v>31351</v>
      </c>
      <c r="M404" s="19">
        <v>397</v>
      </c>
      <c r="N404" s="7" t="s">
        <v>238</v>
      </c>
      <c r="O404" s="20" t="s">
        <v>245</v>
      </c>
      <c r="P404" s="20" t="s">
        <v>245</v>
      </c>
      <c r="Q404" s="20" t="s">
        <v>245</v>
      </c>
      <c r="R404" s="21">
        <v>42653</v>
      </c>
      <c r="S404" s="22" t="s">
        <v>246</v>
      </c>
      <c r="T404" s="22">
        <v>2016</v>
      </c>
      <c r="U404" s="21">
        <v>42643</v>
      </c>
      <c r="V404" s="22"/>
    </row>
    <row r="405" spans="1:22" ht="19.5" customHeight="1" x14ac:dyDescent="0.3">
      <c r="A405" s="3">
        <v>2016</v>
      </c>
      <c r="B405" s="4">
        <v>42552</v>
      </c>
      <c r="C405" s="3">
        <v>3000</v>
      </c>
      <c r="D405" s="7" t="s">
        <v>177</v>
      </c>
      <c r="E405" s="6">
        <v>104337.60000000001</v>
      </c>
      <c r="F405" s="6">
        <v>14337.6</v>
      </c>
      <c r="G405" s="6">
        <v>0</v>
      </c>
      <c r="H405" s="3">
        <v>3700</v>
      </c>
      <c r="I405" s="7" t="s">
        <v>177</v>
      </c>
      <c r="J405" s="6">
        <v>104337.60000000001</v>
      </c>
      <c r="K405" s="6">
        <v>14337.6</v>
      </c>
      <c r="L405" s="6">
        <v>0</v>
      </c>
      <c r="M405" s="23">
        <v>398</v>
      </c>
      <c r="N405" s="7" t="s">
        <v>238</v>
      </c>
      <c r="O405" s="20" t="s">
        <v>245</v>
      </c>
      <c r="P405" s="20" t="s">
        <v>245</v>
      </c>
      <c r="Q405" s="20" t="s">
        <v>245</v>
      </c>
      <c r="R405" s="21">
        <v>42653</v>
      </c>
      <c r="S405" s="22" t="s">
        <v>246</v>
      </c>
      <c r="T405" s="22">
        <v>2016</v>
      </c>
      <c r="U405" s="21">
        <v>42643</v>
      </c>
      <c r="V405" s="22"/>
    </row>
    <row r="406" spans="1:22" ht="19.5" customHeight="1" x14ac:dyDescent="0.3">
      <c r="A406" s="3">
        <v>2016</v>
      </c>
      <c r="B406" s="4">
        <v>42552</v>
      </c>
      <c r="C406" s="3">
        <v>3000</v>
      </c>
      <c r="D406" s="7" t="s">
        <v>178</v>
      </c>
      <c r="E406" s="6">
        <v>2000</v>
      </c>
      <c r="F406" s="6">
        <v>0</v>
      </c>
      <c r="G406" s="6">
        <v>0</v>
      </c>
      <c r="H406" s="3">
        <v>3700</v>
      </c>
      <c r="I406" s="7" t="s">
        <v>178</v>
      </c>
      <c r="J406" s="6">
        <v>2000</v>
      </c>
      <c r="K406" s="6">
        <v>0</v>
      </c>
      <c r="L406" s="6">
        <v>0</v>
      </c>
      <c r="M406" s="19">
        <v>399</v>
      </c>
      <c r="N406" s="7" t="s">
        <v>238</v>
      </c>
      <c r="O406" s="20" t="s">
        <v>245</v>
      </c>
      <c r="P406" s="20" t="s">
        <v>245</v>
      </c>
      <c r="Q406" s="20" t="s">
        <v>245</v>
      </c>
      <c r="R406" s="21">
        <v>42653</v>
      </c>
      <c r="S406" s="22" t="s">
        <v>246</v>
      </c>
      <c r="T406" s="22">
        <v>2016</v>
      </c>
      <c r="U406" s="21">
        <v>42643</v>
      </c>
      <c r="V406" s="22"/>
    </row>
    <row r="407" spans="1:22" ht="19.5" customHeight="1" x14ac:dyDescent="0.3">
      <c r="A407" s="3">
        <v>2016</v>
      </c>
      <c r="B407" s="4">
        <v>42552</v>
      </c>
      <c r="C407" s="3">
        <v>3000</v>
      </c>
      <c r="D407" s="10" t="s">
        <v>179</v>
      </c>
      <c r="E407" s="6">
        <v>710243.33</v>
      </c>
      <c r="F407" s="6">
        <f>561526.21+14619.98</f>
        <v>576146.18999999994</v>
      </c>
      <c r="G407" s="6">
        <f>28482.04+14619.98</f>
        <v>43102.020000000004</v>
      </c>
      <c r="H407" s="3">
        <v>3700</v>
      </c>
      <c r="I407" s="10" t="s">
        <v>179</v>
      </c>
      <c r="J407" s="6">
        <v>710243.33</v>
      </c>
      <c r="K407" s="6">
        <f>561526.21+14619.98</f>
        <v>576146.18999999994</v>
      </c>
      <c r="L407" s="6">
        <f>28482.04+14619.98</f>
        <v>43102.020000000004</v>
      </c>
      <c r="M407" s="23">
        <v>400</v>
      </c>
      <c r="N407" s="7" t="s">
        <v>238</v>
      </c>
      <c r="O407" s="20" t="s">
        <v>245</v>
      </c>
      <c r="P407" s="20" t="s">
        <v>245</v>
      </c>
      <c r="Q407" s="20" t="s">
        <v>245</v>
      </c>
      <c r="R407" s="21">
        <v>42653</v>
      </c>
      <c r="S407" s="22" t="s">
        <v>246</v>
      </c>
      <c r="T407" s="22">
        <v>2016</v>
      </c>
      <c r="U407" s="21">
        <v>42643</v>
      </c>
      <c r="V407" s="22"/>
    </row>
    <row r="408" spans="1:22" ht="19.5" customHeight="1" x14ac:dyDescent="0.3">
      <c r="A408" s="3">
        <v>2016</v>
      </c>
      <c r="B408" s="4">
        <v>42552</v>
      </c>
      <c r="C408" s="3">
        <v>3000</v>
      </c>
      <c r="D408" s="10" t="s">
        <v>180</v>
      </c>
      <c r="E408" s="6">
        <v>435500</v>
      </c>
      <c r="F408" s="6">
        <f>451664.13+10271.82</f>
        <v>461935.95</v>
      </c>
      <c r="G408" s="6">
        <f>34330.6+10271.82</f>
        <v>44602.42</v>
      </c>
      <c r="H408" s="3">
        <v>3700</v>
      </c>
      <c r="I408" s="10" t="s">
        <v>180</v>
      </c>
      <c r="J408" s="6">
        <v>435500</v>
      </c>
      <c r="K408" s="6">
        <f>451664.13+10271.82</f>
        <v>461935.95</v>
      </c>
      <c r="L408" s="6">
        <f>34330.6+10271.82</f>
        <v>44602.42</v>
      </c>
      <c r="M408" s="19">
        <v>401</v>
      </c>
      <c r="N408" s="7" t="s">
        <v>238</v>
      </c>
      <c r="O408" s="20" t="s">
        <v>245</v>
      </c>
      <c r="P408" s="20" t="s">
        <v>245</v>
      </c>
      <c r="Q408" s="20" t="s">
        <v>245</v>
      </c>
      <c r="R408" s="21">
        <v>42653</v>
      </c>
      <c r="S408" s="22" t="s">
        <v>246</v>
      </c>
      <c r="T408" s="22">
        <v>2016</v>
      </c>
      <c r="U408" s="21">
        <v>42643</v>
      </c>
      <c r="V408" s="22"/>
    </row>
    <row r="409" spans="1:22" ht="19.5" customHeight="1" x14ac:dyDescent="0.3">
      <c r="A409" s="3">
        <v>2016</v>
      </c>
      <c r="B409" s="4">
        <v>42552</v>
      </c>
      <c r="C409" s="3">
        <v>3000</v>
      </c>
      <c r="D409" s="7" t="s">
        <v>181</v>
      </c>
      <c r="E409" s="6">
        <v>30000</v>
      </c>
      <c r="F409" s="6">
        <v>0</v>
      </c>
      <c r="G409" s="6">
        <v>0</v>
      </c>
      <c r="H409" s="3">
        <v>3700</v>
      </c>
      <c r="I409" s="7" t="s">
        <v>181</v>
      </c>
      <c r="J409" s="6">
        <v>30000</v>
      </c>
      <c r="K409" s="6">
        <v>0</v>
      </c>
      <c r="L409" s="6">
        <v>0</v>
      </c>
      <c r="M409" s="23">
        <v>402</v>
      </c>
      <c r="N409" s="7" t="s">
        <v>238</v>
      </c>
      <c r="O409" s="20" t="s">
        <v>245</v>
      </c>
      <c r="P409" s="20" t="s">
        <v>245</v>
      </c>
      <c r="Q409" s="20" t="s">
        <v>245</v>
      </c>
      <c r="R409" s="21">
        <v>42653</v>
      </c>
      <c r="S409" s="22" t="s">
        <v>246</v>
      </c>
      <c r="T409" s="22">
        <v>2016</v>
      </c>
      <c r="U409" s="21">
        <v>42643</v>
      </c>
      <c r="V409" s="22"/>
    </row>
    <row r="410" spans="1:22" ht="19.5" customHeight="1" x14ac:dyDescent="0.3">
      <c r="A410" s="3">
        <v>2016</v>
      </c>
      <c r="B410" s="4">
        <v>42552</v>
      </c>
      <c r="C410" s="3">
        <v>3000</v>
      </c>
      <c r="D410" s="7" t="s">
        <v>182</v>
      </c>
      <c r="E410" s="6">
        <v>4000</v>
      </c>
      <c r="F410" s="6">
        <v>20000</v>
      </c>
      <c r="G410" s="6">
        <v>0</v>
      </c>
      <c r="H410" s="3">
        <v>3700</v>
      </c>
      <c r="I410" s="7" t="s">
        <v>182</v>
      </c>
      <c r="J410" s="6">
        <v>4000</v>
      </c>
      <c r="K410" s="6">
        <v>20000</v>
      </c>
      <c r="L410" s="6">
        <v>0</v>
      </c>
      <c r="M410" s="19">
        <v>403</v>
      </c>
      <c r="N410" s="7" t="s">
        <v>238</v>
      </c>
      <c r="O410" s="20" t="s">
        <v>245</v>
      </c>
      <c r="P410" s="20" t="s">
        <v>245</v>
      </c>
      <c r="Q410" s="20" t="s">
        <v>245</v>
      </c>
      <c r="R410" s="21">
        <v>42653</v>
      </c>
      <c r="S410" s="22" t="s">
        <v>246</v>
      </c>
      <c r="T410" s="22">
        <v>2016</v>
      </c>
      <c r="U410" s="21">
        <v>42643</v>
      </c>
      <c r="V410" s="22"/>
    </row>
    <row r="411" spans="1:22" ht="19.5" customHeight="1" x14ac:dyDescent="0.3">
      <c r="A411" s="3">
        <v>2016</v>
      </c>
      <c r="B411" s="4">
        <v>42552</v>
      </c>
      <c r="C411" s="3">
        <v>3000</v>
      </c>
      <c r="D411" s="10" t="s">
        <v>183</v>
      </c>
      <c r="E411" s="6">
        <v>4101228</v>
      </c>
      <c r="F411" s="6">
        <f>4137200.13+305572.96</f>
        <v>4442773.09</v>
      </c>
      <c r="G411" s="6">
        <f>852115.14+230572.96</f>
        <v>1082688.1000000001</v>
      </c>
      <c r="H411" s="3">
        <v>3800</v>
      </c>
      <c r="I411" s="10" t="s">
        <v>183</v>
      </c>
      <c r="J411" s="6">
        <v>4101228</v>
      </c>
      <c r="K411" s="6">
        <f>4137200.13+305572.96</f>
        <v>4442773.09</v>
      </c>
      <c r="L411" s="6">
        <f>852115.14+230572.96</f>
        <v>1082688.1000000001</v>
      </c>
      <c r="M411" s="23">
        <v>404</v>
      </c>
      <c r="N411" s="7" t="s">
        <v>238</v>
      </c>
      <c r="O411" s="20" t="s">
        <v>245</v>
      </c>
      <c r="P411" s="20" t="s">
        <v>245</v>
      </c>
      <c r="Q411" s="20" t="s">
        <v>245</v>
      </c>
      <c r="R411" s="21">
        <v>42653</v>
      </c>
      <c r="S411" s="22" t="s">
        <v>246</v>
      </c>
      <c r="T411" s="22">
        <v>2016</v>
      </c>
      <c r="U411" s="21">
        <v>42643</v>
      </c>
      <c r="V411" s="22"/>
    </row>
    <row r="412" spans="1:22" ht="19.5" customHeight="1" x14ac:dyDescent="0.3">
      <c r="A412" s="3">
        <v>2016</v>
      </c>
      <c r="B412" s="4">
        <v>42552</v>
      </c>
      <c r="C412" s="3">
        <v>3000</v>
      </c>
      <c r="D412" s="10" t="s">
        <v>184</v>
      </c>
      <c r="E412" s="6">
        <v>617333</v>
      </c>
      <c r="F412" s="6">
        <v>1089760.8799999999</v>
      </c>
      <c r="G412" s="6">
        <v>353952.53</v>
      </c>
      <c r="H412" s="3">
        <v>3800</v>
      </c>
      <c r="I412" s="10" t="s">
        <v>184</v>
      </c>
      <c r="J412" s="6">
        <v>617333</v>
      </c>
      <c r="K412" s="6">
        <v>1089760.8799999999</v>
      </c>
      <c r="L412" s="6">
        <v>353952.53</v>
      </c>
      <c r="M412" s="19">
        <v>405</v>
      </c>
      <c r="N412" s="7" t="s">
        <v>238</v>
      </c>
      <c r="O412" s="20" t="s">
        <v>245</v>
      </c>
      <c r="P412" s="20" t="s">
        <v>245</v>
      </c>
      <c r="Q412" s="20" t="s">
        <v>245</v>
      </c>
      <c r="R412" s="21">
        <v>42653</v>
      </c>
      <c r="S412" s="22" t="s">
        <v>246</v>
      </c>
      <c r="T412" s="22">
        <v>2016</v>
      </c>
      <c r="U412" s="21">
        <v>42643</v>
      </c>
      <c r="V412" s="22"/>
    </row>
    <row r="413" spans="1:22" ht="19.5" customHeight="1" x14ac:dyDescent="0.3">
      <c r="A413" s="3">
        <v>2016</v>
      </c>
      <c r="B413" s="4">
        <v>42552</v>
      </c>
      <c r="C413" s="3">
        <v>3000</v>
      </c>
      <c r="D413" s="10" t="s">
        <v>185</v>
      </c>
      <c r="E413" s="6">
        <v>1860850.1</v>
      </c>
      <c r="F413" s="6">
        <f>1291814.54+3636.82</f>
        <v>1295451.3600000001</v>
      </c>
      <c r="G413" s="6">
        <f>33914.58+3636.82</f>
        <v>37551.4</v>
      </c>
      <c r="H413" s="3">
        <v>3800</v>
      </c>
      <c r="I413" s="10" t="s">
        <v>185</v>
      </c>
      <c r="J413" s="6">
        <v>1860850.1</v>
      </c>
      <c r="K413" s="6">
        <f>1291814.54+3636.82</f>
        <v>1295451.3600000001</v>
      </c>
      <c r="L413" s="6">
        <f>33914.58+3636.82</f>
        <v>37551.4</v>
      </c>
      <c r="M413" s="23">
        <v>406</v>
      </c>
      <c r="N413" s="7" t="s">
        <v>238</v>
      </c>
      <c r="O413" s="20" t="s">
        <v>245</v>
      </c>
      <c r="P413" s="20" t="s">
        <v>245</v>
      </c>
      <c r="Q413" s="20" t="s">
        <v>245</v>
      </c>
      <c r="R413" s="21">
        <v>42653</v>
      </c>
      <c r="S413" s="22" t="s">
        <v>246</v>
      </c>
      <c r="T413" s="22">
        <v>2016</v>
      </c>
      <c r="U413" s="21">
        <v>42643</v>
      </c>
      <c r="V413" s="22"/>
    </row>
    <row r="414" spans="1:22" ht="19.5" customHeight="1" x14ac:dyDescent="0.3">
      <c r="A414" s="3">
        <v>2016</v>
      </c>
      <c r="B414" s="4">
        <v>42552</v>
      </c>
      <c r="C414" s="3">
        <v>3000</v>
      </c>
      <c r="D414" s="7" t="s">
        <v>186</v>
      </c>
      <c r="E414" s="6">
        <v>387031.95</v>
      </c>
      <c r="F414" s="6">
        <f>322995.24+12000</f>
        <v>334995.24</v>
      </c>
      <c r="G414" s="6">
        <f>100084.88+349751.6</f>
        <v>449836.48</v>
      </c>
      <c r="H414" s="3">
        <v>3900</v>
      </c>
      <c r="I414" s="7" t="s">
        <v>186</v>
      </c>
      <c r="J414" s="6">
        <v>387031.95</v>
      </c>
      <c r="K414" s="6">
        <f>322995.24+12000</f>
        <v>334995.24</v>
      </c>
      <c r="L414" s="6">
        <f>100084.88+349751.6</f>
        <v>449836.48</v>
      </c>
      <c r="M414" s="19">
        <v>407</v>
      </c>
      <c r="N414" s="7" t="s">
        <v>238</v>
      </c>
      <c r="O414" s="20" t="s">
        <v>245</v>
      </c>
      <c r="P414" s="20" t="s">
        <v>245</v>
      </c>
      <c r="Q414" s="20" t="s">
        <v>245</v>
      </c>
      <c r="R414" s="21">
        <v>42653</v>
      </c>
      <c r="S414" s="22" t="s">
        <v>246</v>
      </c>
      <c r="T414" s="22">
        <v>2016</v>
      </c>
      <c r="U414" s="21">
        <v>42643</v>
      </c>
      <c r="V414" s="22"/>
    </row>
    <row r="415" spans="1:22" ht="19.5" customHeight="1" x14ac:dyDescent="0.3">
      <c r="A415" s="3">
        <v>2016</v>
      </c>
      <c r="B415" s="4">
        <v>42552</v>
      </c>
      <c r="C415" s="3">
        <v>3000</v>
      </c>
      <c r="D415" s="7" t="s">
        <v>187</v>
      </c>
      <c r="E415" s="6">
        <v>0</v>
      </c>
      <c r="F415" s="6">
        <v>250000</v>
      </c>
      <c r="G415" s="6">
        <v>89576.66</v>
      </c>
      <c r="H415" s="3">
        <v>3900</v>
      </c>
      <c r="I415" s="7" t="s">
        <v>187</v>
      </c>
      <c r="J415" s="6">
        <v>0</v>
      </c>
      <c r="K415" s="6">
        <v>250000</v>
      </c>
      <c r="L415" s="6">
        <v>89576.66</v>
      </c>
      <c r="M415" s="23">
        <v>408</v>
      </c>
      <c r="N415" s="7" t="s">
        <v>238</v>
      </c>
      <c r="O415" s="20" t="s">
        <v>245</v>
      </c>
      <c r="P415" s="20" t="s">
        <v>245</v>
      </c>
      <c r="Q415" s="20" t="s">
        <v>245</v>
      </c>
      <c r="R415" s="21">
        <v>42653</v>
      </c>
      <c r="S415" s="22" t="s">
        <v>246</v>
      </c>
      <c r="T415" s="22">
        <v>2016</v>
      </c>
      <c r="U415" s="21">
        <v>42643</v>
      </c>
      <c r="V415" s="22"/>
    </row>
    <row r="416" spans="1:22" ht="19.5" customHeight="1" x14ac:dyDescent="0.3">
      <c r="A416" s="3">
        <v>2016</v>
      </c>
      <c r="B416" s="4">
        <v>42552</v>
      </c>
      <c r="C416" s="3">
        <v>3000</v>
      </c>
      <c r="D416" s="7" t="s">
        <v>188</v>
      </c>
      <c r="E416" s="6">
        <v>26790709.48</v>
      </c>
      <c r="F416" s="6">
        <f>27342912.63+1819487</f>
        <v>29162399.629999999</v>
      </c>
      <c r="G416" s="6">
        <f>15536629+1819487</f>
        <v>17356116</v>
      </c>
      <c r="H416" s="3">
        <v>3900</v>
      </c>
      <c r="I416" s="7" t="s">
        <v>188</v>
      </c>
      <c r="J416" s="6">
        <v>26790709.48</v>
      </c>
      <c r="K416" s="6">
        <f>27342912.63+1819487</f>
        <v>29162399.629999999</v>
      </c>
      <c r="L416" s="6">
        <f>15536629+1819487</f>
        <v>17356116</v>
      </c>
      <c r="M416" s="19">
        <v>409</v>
      </c>
      <c r="N416" s="7" t="s">
        <v>238</v>
      </c>
      <c r="O416" s="20" t="s">
        <v>245</v>
      </c>
      <c r="P416" s="20" t="s">
        <v>245</v>
      </c>
      <c r="Q416" s="20" t="s">
        <v>245</v>
      </c>
      <c r="R416" s="21">
        <v>42653</v>
      </c>
      <c r="S416" s="22" t="s">
        <v>246</v>
      </c>
      <c r="T416" s="22">
        <v>2016</v>
      </c>
      <c r="U416" s="21">
        <v>42643</v>
      </c>
      <c r="V416" s="22"/>
    </row>
    <row r="417" spans="1:22" ht="19.5" customHeight="1" x14ac:dyDescent="0.3">
      <c r="A417" s="3">
        <v>2016</v>
      </c>
      <c r="B417" s="4">
        <v>42552</v>
      </c>
      <c r="C417" s="3">
        <v>4000</v>
      </c>
      <c r="D417" s="7" t="s">
        <v>189</v>
      </c>
      <c r="E417" s="6">
        <v>11400</v>
      </c>
      <c r="F417" s="6">
        <v>0</v>
      </c>
      <c r="G417" s="6">
        <v>0</v>
      </c>
      <c r="H417" s="3">
        <v>4100</v>
      </c>
      <c r="I417" s="7" t="s">
        <v>189</v>
      </c>
      <c r="J417" s="6">
        <v>11400</v>
      </c>
      <c r="K417" s="6">
        <v>0</v>
      </c>
      <c r="L417" s="6">
        <v>0</v>
      </c>
      <c r="M417" s="23">
        <v>410</v>
      </c>
      <c r="N417" s="7" t="s">
        <v>239</v>
      </c>
      <c r="O417" s="20" t="s">
        <v>245</v>
      </c>
      <c r="P417" s="20" t="s">
        <v>245</v>
      </c>
      <c r="Q417" s="20" t="s">
        <v>245</v>
      </c>
      <c r="R417" s="21">
        <v>42653</v>
      </c>
      <c r="S417" s="22" t="s">
        <v>246</v>
      </c>
      <c r="T417" s="22">
        <v>2016</v>
      </c>
      <c r="U417" s="21">
        <v>42643</v>
      </c>
      <c r="V417" s="22"/>
    </row>
    <row r="418" spans="1:22" ht="19.5" customHeight="1" x14ac:dyDescent="0.3">
      <c r="A418" s="3">
        <v>2016</v>
      </c>
      <c r="B418" s="4">
        <v>42552</v>
      </c>
      <c r="C418" s="3">
        <v>4000</v>
      </c>
      <c r="D418" s="7" t="s">
        <v>223</v>
      </c>
      <c r="E418" s="6">
        <v>0</v>
      </c>
      <c r="F418" s="6">
        <v>183262.97</v>
      </c>
      <c r="G418" s="6">
        <v>0</v>
      </c>
      <c r="H418" s="3">
        <v>4100</v>
      </c>
      <c r="I418" s="7" t="s">
        <v>223</v>
      </c>
      <c r="J418" s="6">
        <v>0</v>
      </c>
      <c r="K418" s="6">
        <v>183262.97</v>
      </c>
      <c r="L418" s="6">
        <v>0</v>
      </c>
      <c r="M418" s="19">
        <v>411</v>
      </c>
      <c r="N418" s="7" t="s">
        <v>239</v>
      </c>
      <c r="O418" s="20" t="s">
        <v>245</v>
      </c>
      <c r="P418" s="20" t="s">
        <v>245</v>
      </c>
      <c r="Q418" s="20" t="s">
        <v>245</v>
      </c>
      <c r="R418" s="21">
        <v>42653</v>
      </c>
      <c r="S418" s="22" t="s">
        <v>246</v>
      </c>
      <c r="T418" s="22">
        <v>2016</v>
      </c>
      <c r="U418" s="21">
        <v>42643</v>
      </c>
      <c r="V418" s="22"/>
    </row>
    <row r="419" spans="1:22" ht="19.5" customHeight="1" x14ac:dyDescent="0.3">
      <c r="A419" s="3">
        <v>2016</v>
      </c>
      <c r="B419" s="4">
        <v>42552</v>
      </c>
      <c r="C419" s="3">
        <v>4000</v>
      </c>
      <c r="D419" s="10" t="s">
        <v>190</v>
      </c>
      <c r="E419" s="6">
        <v>6500</v>
      </c>
      <c r="F419" s="6">
        <v>24473</v>
      </c>
      <c r="G419" s="6">
        <v>44494.720000000001</v>
      </c>
      <c r="H419" s="3">
        <v>4400</v>
      </c>
      <c r="I419" s="10" t="s">
        <v>190</v>
      </c>
      <c r="J419" s="6">
        <v>6500</v>
      </c>
      <c r="K419" s="6">
        <v>24473</v>
      </c>
      <c r="L419" s="6">
        <v>44494.720000000001</v>
      </c>
      <c r="M419" s="23">
        <v>412</v>
      </c>
      <c r="N419" s="7" t="s">
        <v>239</v>
      </c>
      <c r="O419" s="20" t="s">
        <v>245</v>
      </c>
      <c r="P419" s="20" t="s">
        <v>245</v>
      </c>
      <c r="Q419" s="20" t="s">
        <v>245</v>
      </c>
      <c r="R419" s="21">
        <v>42653</v>
      </c>
      <c r="S419" s="22" t="s">
        <v>246</v>
      </c>
      <c r="T419" s="22">
        <v>2016</v>
      </c>
      <c r="U419" s="21">
        <v>42643</v>
      </c>
      <c r="V419" s="22"/>
    </row>
    <row r="420" spans="1:22" ht="19.5" customHeight="1" x14ac:dyDescent="0.3">
      <c r="A420" s="3">
        <v>2016</v>
      </c>
      <c r="B420" s="4">
        <v>42552</v>
      </c>
      <c r="C420" s="3">
        <v>4000</v>
      </c>
      <c r="D420" s="10" t="s">
        <v>191</v>
      </c>
      <c r="E420" s="6">
        <v>0</v>
      </c>
      <c r="F420" s="6">
        <v>650760</v>
      </c>
      <c r="G420" s="6">
        <v>25760</v>
      </c>
      <c r="H420" s="3">
        <v>4400</v>
      </c>
      <c r="I420" s="10" t="s">
        <v>191</v>
      </c>
      <c r="J420" s="6">
        <v>0</v>
      </c>
      <c r="K420" s="6">
        <v>650760</v>
      </c>
      <c r="L420" s="6">
        <v>25760</v>
      </c>
      <c r="M420" s="19">
        <v>413</v>
      </c>
      <c r="N420" s="7" t="s">
        <v>239</v>
      </c>
      <c r="O420" s="20" t="s">
        <v>245</v>
      </c>
      <c r="P420" s="20" t="s">
        <v>245</v>
      </c>
      <c r="Q420" s="20" t="s">
        <v>245</v>
      </c>
      <c r="R420" s="21">
        <v>42653</v>
      </c>
      <c r="S420" s="22" t="s">
        <v>246</v>
      </c>
      <c r="T420" s="22">
        <v>2016</v>
      </c>
      <c r="U420" s="21">
        <v>42643</v>
      </c>
      <c r="V420" s="22"/>
    </row>
    <row r="421" spans="1:22" ht="19.5" customHeight="1" x14ac:dyDescent="0.3">
      <c r="A421" s="3">
        <v>2016</v>
      </c>
      <c r="B421" s="4">
        <v>42552</v>
      </c>
      <c r="C421" s="3">
        <v>4000</v>
      </c>
      <c r="D421" s="10" t="s">
        <v>192</v>
      </c>
      <c r="E421" s="6">
        <v>22849000</v>
      </c>
      <c r="F421" s="6">
        <f>22685002+23610115.01</f>
        <v>46295117.010000005</v>
      </c>
      <c r="G421" s="6">
        <f>18226853.8+4035460</f>
        <v>22262313.800000001</v>
      </c>
      <c r="H421" s="3">
        <v>4400</v>
      </c>
      <c r="I421" s="10" t="s">
        <v>192</v>
      </c>
      <c r="J421" s="6">
        <v>22849000</v>
      </c>
      <c r="K421" s="6">
        <f>22685002+23610115.01</f>
        <v>46295117.010000005</v>
      </c>
      <c r="L421" s="6">
        <f>18226853.8+4035460</f>
        <v>22262313.800000001</v>
      </c>
      <c r="M421" s="23">
        <v>414</v>
      </c>
      <c r="N421" s="7" t="s">
        <v>239</v>
      </c>
      <c r="O421" s="20" t="s">
        <v>245</v>
      </c>
      <c r="P421" s="20" t="s">
        <v>245</v>
      </c>
      <c r="Q421" s="20" t="s">
        <v>245</v>
      </c>
      <c r="R421" s="21">
        <v>42653</v>
      </c>
      <c r="S421" s="22" t="s">
        <v>246</v>
      </c>
      <c r="T421" s="22">
        <v>2016</v>
      </c>
      <c r="U421" s="21">
        <v>42643</v>
      </c>
      <c r="V421" s="22"/>
    </row>
    <row r="422" spans="1:22" ht="19.5" customHeight="1" x14ac:dyDescent="0.3">
      <c r="A422" s="3">
        <v>2016</v>
      </c>
      <c r="B422" s="4">
        <v>42552</v>
      </c>
      <c r="C422" s="3">
        <v>4000</v>
      </c>
      <c r="D422" s="10" t="s">
        <v>193</v>
      </c>
      <c r="E422" s="6">
        <v>700000</v>
      </c>
      <c r="F422" s="6">
        <f>1386991.02+440667.58</f>
        <v>1827658.6</v>
      </c>
      <c r="G422" s="6">
        <f>583845.69+40667.58</f>
        <v>624513.2699999999</v>
      </c>
      <c r="H422" s="3">
        <v>4400</v>
      </c>
      <c r="I422" s="10" t="s">
        <v>193</v>
      </c>
      <c r="J422" s="6">
        <v>700000</v>
      </c>
      <c r="K422" s="6">
        <f>1386991.02+440667.58</f>
        <v>1827658.6</v>
      </c>
      <c r="L422" s="6">
        <f>583845.69+40667.58</f>
        <v>624513.2699999999</v>
      </c>
      <c r="M422" s="19">
        <v>415</v>
      </c>
      <c r="N422" s="7" t="s">
        <v>239</v>
      </c>
      <c r="O422" s="20" t="s">
        <v>245</v>
      </c>
      <c r="P422" s="20" t="s">
        <v>245</v>
      </c>
      <c r="Q422" s="20" t="s">
        <v>245</v>
      </c>
      <c r="R422" s="21">
        <v>42653</v>
      </c>
      <c r="S422" s="22" t="s">
        <v>246</v>
      </c>
      <c r="T422" s="22">
        <v>2016</v>
      </c>
      <c r="U422" s="21">
        <v>42643</v>
      </c>
      <c r="V422" s="22"/>
    </row>
    <row r="423" spans="1:22" ht="19.5" customHeight="1" x14ac:dyDescent="0.3">
      <c r="A423" s="3">
        <v>2016</v>
      </c>
      <c r="B423" s="4">
        <v>42552</v>
      </c>
      <c r="C423" s="3">
        <v>5000</v>
      </c>
      <c r="D423" s="10" t="s">
        <v>194</v>
      </c>
      <c r="E423" s="6">
        <v>1198197.3</v>
      </c>
      <c r="F423" s="6">
        <f>1544982.83+907609.72</f>
        <v>2452592.5499999998</v>
      </c>
      <c r="G423" s="6">
        <f>153574.12+524326.06</f>
        <v>677900.18</v>
      </c>
      <c r="H423" s="3">
        <v>5100</v>
      </c>
      <c r="I423" s="10" t="s">
        <v>194</v>
      </c>
      <c r="J423" s="6">
        <v>1198197.3</v>
      </c>
      <c r="K423" s="6">
        <f>1544982.83+907609.72</f>
        <v>2452592.5499999998</v>
      </c>
      <c r="L423" s="6">
        <f>153574.12+524326.06</f>
        <v>677900.18</v>
      </c>
      <c r="M423" s="23">
        <v>416</v>
      </c>
      <c r="N423" s="7" t="s">
        <v>240</v>
      </c>
      <c r="O423" s="20" t="s">
        <v>245</v>
      </c>
      <c r="P423" s="20" t="s">
        <v>245</v>
      </c>
      <c r="Q423" s="20" t="s">
        <v>245</v>
      </c>
      <c r="R423" s="21">
        <v>42653</v>
      </c>
      <c r="S423" s="22" t="s">
        <v>246</v>
      </c>
      <c r="T423" s="22">
        <v>2016</v>
      </c>
      <c r="U423" s="21">
        <v>42643</v>
      </c>
      <c r="V423" s="22"/>
    </row>
    <row r="424" spans="1:22" ht="19.5" customHeight="1" x14ac:dyDescent="0.3">
      <c r="A424" s="3">
        <v>2016</v>
      </c>
      <c r="B424" s="4">
        <v>42552</v>
      </c>
      <c r="C424" s="3">
        <v>5000</v>
      </c>
      <c r="D424" s="12" t="s">
        <v>224</v>
      </c>
      <c r="E424" s="6">
        <v>0</v>
      </c>
      <c r="F424" s="6">
        <v>10000</v>
      </c>
      <c r="G424" s="6">
        <v>0</v>
      </c>
      <c r="H424" s="3">
        <v>5100</v>
      </c>
      <c r="I424" s="12" t="s">
        <v>224</v>
      </c>
      <c r="J424" s="6">
        <v>0</v>
      </c>
      <c r="K424" s="6">
        <v>10000</v>
      </c>
      <c r="L424" s="6">
        <v>0</v>
      </c>
      <c r="M424" s="19">
        <v>417</v>
      </c>
      <c r="N424" s="7" t="s">
        <v>240</v>
      </c>
      <c r="O424" s="20" t="s">
        <v>245</v>
      </c>
      <c r="P424" s="20" t="s">
        <v>245</v>
      </c>
      <c r="Q424" s="20" t="s">
        <v>245</v>
      </c>
      <c r="R424" s="21">
        <v>42653</v>
      </c>
      <c r="S424" s="22" t="s">
        <v>246</v>
      </c>
      <c r="T424" s="22">
        <v>2016</v>
      </c>
      <c r="U424" s="21">
        <v>42643</v>
      </c>
      <c r="V424" s="22"/>
    </row>
    <row r="425" spans="1:22" ht="19.5" customHeight="1" x14ac:dyDescent="0.3">
      <c r="A425" s="3">
        <v>2016</v>
      </c>
      <c r="B425" s="4">
        <v>42552</v>
      </c>
      <c r="C425" s="3">
        <v>5000</v>
      </c>
      <c r="D425" s="10" t="s">
        <v>195</v>
      </c>
      <c r="E425" s="6">
        <v>0</v>
      </c>
      <c r="F425" s="6">
        <v>155062.69</v>
      </c>
      <c r="G425" s="6">
        <f>262471.51+155062.69</f>
        <v>417534.2</v>
      </c>
      <c r="H425" s="3">
        <v>5100</v>
      </c>
      <c r="I425" s="10" t="s">
        <v>195</v>
      </c>
      <c r="J425" s="6">
        <v>0</v>
      </c>
      <c r="K425" s="6">
        <v>155062.69</v>
      </c>
      <c r="L425" s="6">
        <f>262471.51+155062.69</f>
        <v>417534.2</v>
      </c>
      <c r="M425" s="23">
        <v>418</v>
      </c>
      <c r="N425" s="7" t="s">
        <v>240</v>
      </c>
      <c r="O425" s="20" t="s">
        <v>245</v>
      </c>
      <c r="P425" s="20" t="s">
        <v>245</v>
      </c>
      <c r="Q425" s="20" t="s">
        <v>245</v>
      </c>
      <c r="R425" s="21">
        <v>42653</v>
      </c>
      <c r="S425" s="22" t="s">
        <v>246</v>
      </c>
      <c r="T425" s="22">
        <v>2016</v>
      </c>
      <c r="U425" s="21">
        <v>42643</v>
      </c>
      <c r="V425" s="22"/>
    </row>
    <row r="426" spans="1:22" ht="19.5" customHeight="1" x14ac:dyDescent="0.3">
      <c r="A426" s="3">
        <v>2016</v>
      </c>
      <c r="B426" s="4">
        <v>42552</v>
      </c>
      <c r="C426" s="3">
        <v>5000</v>
      </c>
      <c r="D426" s="10" t="s">
        <v>196</v>
      </c>
      <c r="E426" s="6">
        <v>1532447</v>
      </c>
      <c r="F426" s="6">
        <f>4941609.84+7855359.72</f>
        <v>12796969.559999999</v>
      </c>
      <c r="G426" s="6">
        <f>240290.88+4110023.58</f>
        <v>4350314.46</v>
      </c>
      <c r="H426" s="3">
        <v>5100</v>
      </c>
      <c r="I426" s="10" t="s">
        <v>196</v>
      </c>
      <c r="J426" s="6">
        <v>1532447</v>
      </c>
      <c r="K426" s="6">
        <f>4941609.84+7855359.72</f>
        <v>12796969.559999999</v>
      </c>
      <c r="L426" s="6">
        <f>240290.88+4110023.58</f>
        <v>4350314.46</v>
      </c>
      <c r="M426" s="19">
        <v>419</v>
      </c>
      <c r="N426" s="7" t="s">
        <v>240</v>
      </c>
      <c r="O426" s="20" t="s">
        <v>245</v>
      </c>
      <c r="P426" s="20" t="s">
        <v>245</v>
      </c>
      <c r="Q426" s="20" t="s">
        <v>245</v>
      </c>
      <c r="R426" s="21">
        <v>42653</v>
      </c>
      <c r="S426" s="22" t="s">
        <v>246</v>
      </c>
      <c r="T426" s="22">
        <v>2016</v>
      </c>
      <c r="U426" s="21">
        <v>42643</v>
      </c>
      <c r="V426" s="22"/>
    </row>
    <row r="427" spans="1:22" ht="19.5" customHeight="1" x14ac:dyDescent="0.3">
      <c r="A427" s="3">
        <v>2016</v>
      </c>
      <c r="B427" s="4">
        <v>42552</v>
      </c>
      <c r="C427" s="3">
        <v>5000</v>
      </c>
      <c r="D427" s="10" t="s">
        <v>197</v>
      </c>
      <c r="E427" s="6">
        <v>72517.5</v>
      </c>
      <c r="F427" s="6">
        <f>156524.9+219256.18</f>
        <v>375781.07999999996</v>
      </c>
      <c r="G427" s="6">
        <f>30921.34+183398.32</f>
        <v>214319.66</v>
      </c>
      <c r="H427" s="3">
        <v>5100</v>
      </c>
      <c r="I427" s="10" t="s">
        <v>197</v>
      </c>
      <c r="J427" s="6">
        <v>72517.5</v>
      </c>
      <c r="K427" s="6">
        <f>156524.9+219256.18</f>
        <v>375781.07999999996</v>
      </c>
      <c r="L427" s="6">
        <f>30921.34+183398.32</f>
        <v>214319.66</v>
      </c>
      <c r="M427" s="23">
        <v>420</v>
      </c>
      <c r="N427" s="7" t="s">
        <v>240</v>
      </c>
      <c r="O427" s="20" t="s">
        <v>245</v>
      </c>
      <c r="P427" s="20" t="s">
        <v>245</v>
      </c>
      <c r="Q427" s="20" t="s">
        <v>245</v>
      </c>
      <c r="R427" s="21">
        <v>42653</v>
      </c>
      <c r="S427" s="22" t="s">
        <v>246</v>
      </c>
      <c r="T427" s="22">
        <v>2016</v>
      </c>
      <c r="U427" s="21">
        <v>42643</v>
      </c>
      <c r="V427" s="22"/>
    </row>
    <row r="428" spans="1:22" ht="19.5" customHeight="1" x14ac:dyDescent="0.3">
      <c r="A428" s="3">
        <v>2016</v>
      </c>
      <c r="B428" s="4">
        <v>42552</v>
      </c>
      <c r="C428" s="3">
        <v>5000</v>
      </c>
      <c r="D428" s="10" t="s">
        <v>198</v>
      </c>
      <c r="E428" s="6">
        <v>466291.83</v>
      </c>
      <c r="F428" s="6">
        <f>817627.06+1450170.88</f>
        <v>2267797.94</v>
      </c>
      <c r="G428" s="6">
        <f>63698.99+405190.12</f>
        <v>468889.11</v>
      </c>
      <c r="H428" s="3">
        <v>5200</v>
      </c>
      <c r="I428" s="10" t="s">
        <v>198</v>
      </c>
      <c r="J428" s="6">
        <v>466291.83</v>
      </c>
      <c r="K428" s="6">
        <f>817627.06+1450170.88</f>
        <v>2267797.94</v>
      </c>
      <c r="L428" s="6">
        <f>63698.99+405190.12</f>
        <v>468889.11</v>
      </c>
      <c r="M428" s="19">
        <v>421</v>
      </c>
      <c r="N428" s="7" t="s">
        <v>240</v>
      </c>
      <c r="O428" s="20" t="s">
        <v>245</v>
      </c>
      <c r="P428" s="20" t="s">
        <v>245</v>
      </c>
      <c r="Q428" s="20" t="s">
        <v>245</v>
      </c>
      <c r="R428" s="21">
        <v>42653</v>
      </c>
      <c r="S428" s="22" t="s">
        <v>246</v>
      </c>
      <c r="T428" s="22">
        <v>2016</v>
      </c>
      <c r="U428" s="21">
        <v>42643</v>
      </c>
      <c r="V428" s="22"/>
    </row>
    <row r="429" spans="1:22" ht="19.5" customHeight="1" x14ac:dyDescent="0.3">
      <c r="A429" s="3">
        <v>2016</v>
      </c>
      <c r="B429" s="4">
        <v>42552</v>
      </c>
      <c r="C429" s="3">
        <v>5000</v>
      </c>
      <c r="D429" s="10" t="s">
        <v>199</v>
      </c>
      <c r="E429" s="6">
        <v>257289.1</v>
      </c>
      <c r="F429" s="6">
        <f>1596267.81+1143536.89</f>
        <v>2739804.7</v>
      </c>
      <c r="G429" s="6">
        <f>64773.9+179919.48</f>
        <v>244693.38</v>
      </c>
      <c r="H429" s="3">
        <v>5200</v>
      </c>
      <c r="I429" s="10" t="s">
        <v>199</v>
      </c>
      <c r="J429" s="6">
        <v>257289.1</v>
      </c>
      <c r="K429" s="6">
        <f>1596267.81+1143536.89</f>
        <v>2739804.7</v>
      </c>
      <c r="L429" s="6">
        <f>64773.9+179919.48</f>
        <v>244693.38</v>
      </c>
      <c r="M429" s="23">
        <v>422</v>
      </c>
      <c r="N429" s="7" t="s">
        <v>240</v>
      </c>
      <c r="O429" s="20" t="s">
        <v>245</v>
      </c>
      <c r="P429" s="20" t="s">
        <v>245</v>
      </c>
      <c r="Q429" s="20" t="s">
        <v>245</v>
      </c>
      <c r="R429" s="21">
        <v>42653</v>
      </c>
      <c r="S429" s="22" t="s">
        <v>246</v>
      </c>
      <c r="T429" s="22">
        <v>2016</v>
      </c>
      <c r="U429" s="21">
        <v>42643</v>
      </c>
      <c r="V429" s="22"/>
    </row>
    <row r="430" spans="1:22" ht="19.5" customHeight="1" x14ac:dyDescent="0.3">
      <c r="A430" s="3">
        <v>2016</v>
      </c>
      <c r="B430" s="4">
        <v>42552</v>
      </c>
      <c r="C430" s="3">
        <v>5000</v>
      </c>
      <c r="D430" s="10" t="s">
        <v>200</v>
      </c>
      <c r="E430" s="6">
        <v>10338</v>
      </c>
      <c r="F430" s="6">
        <f>119801.6+399231.4</f>
        <v>519033</v>
      </c>
      <c r="G430" s="6">
        <v>83363.399999999994</v>
      </c>
      <c r="H430" s="3">
        <v>5200</v>
      </c>
      <c r="I430" s="10" t="s">
        <v>200</v>
      </c>
      <c r="J430" s="6">
        <v>10338</v>
      </c>
      <c r="K430" s="6">
        <f>119801.6+399231.4</f>
        <v>519033</v>
      </c>
      <c r="L430" s="6">
        <v>83363.399999999994</v>
      </c>
      <c r="M430" s="19">
        <v>423</v>
      </c>
      <c r="N430" s="7" t="s">
        <v>240</v>
      </c>
      <c r="O430" s="20" t="s">
        <v>245</v>
      </c>
      <c r="P430" s="20" t="s">
        <v>245</v>
      </c>
      <c r="Q430" s="20" t="s">
        <v>245</v>
      </c>
      <c r="R430" s="21">
        <v>42653</v>
      </c>
      <c r="S430" s="22" t="s">
        <v>246</v>
      </c>
      <c r="T430" s="22">
        <v>2016</v>
      </c>
      <c r="U430" s="21">
        <v>42643</v>
      </c>
      <c r="V430" s="22"/>
    </row>
    <row r="431" spans="1:22" ht="19.5" customHeight="1" x14ac:dyDescent="0.3">
      <c r="A431" s="3">
        <v>2016</v>
      </c>
      <c r="B431" s="4">
        <v>42552</v>
      </c>
      <c r="C431" s="3">
        <v>5000</v>
      </c>
      <c r="D431" s="10" t="s">
        <v>201</v>
      </c>
      <c r="E431" s="6">
        <v>304598.76</v>
      </c>
      <c r="F431" s="6">
        <f>1279797.34+458190.14</f>
        <v>1737987.48</v>
      </c>
      <c r="G431" s="6">
        <f>81025+82379.45</f>
        <v>163404.45000000001</v>
      </c>
      <c r="H431" s="3">
        <v>5300</v>
      </c>
      <c r="I431" s="10" t="s">
        <v>201</v>
      </c>
      <c r="J431" s="6">
        <v>304598.76</v>
      </c>
      <c r="K431" s="6">
        <f>1279797.34+458190.14</f>
        <v>1737987.48</v>
      </c>
      <c r="L431" s="6">
        <f>81025+82379.45</f>
        <v>163404.45000000001</v>
      </c>
      <c r="M431" s="23">
        <v>424</v>
      </c>
      <c r="N431" s="7" t="s">
        <v>240</v>
      </c>
      <c r="O431" s="20" t="s">
        <v>245</v>
      </c>
      <c r="P431" s="20" t="s">
        <v>245</v>
      </c>
      <c r="Q431" s="20" t="s">
        <v>245</v>
      </c>
      <c r="R431" s="21">
        <v>42653</v>
      </c>
      <c r="S431" s="22" t="s">
        <v>246</v>
      </c>
      <c r="T431" s="22">
        <v>2016</v>
      </c>
      <c r="U431" s="21">
        <v>42643</v>
      </c>
      <c r="V431" s="22"/>
    </row>
    <row r="432" spans="1:22" ht="19.5" customHeight="1" x14ac:dyDescent="0.3">
      <c r="A432" s="3">
        <v>2016</v>
      </c>
      <c r="B432" s="4">
        <v>42552</v>
      </c>
      <c r="C432" s="3">
        <v>5000</v>
      </c>
      <c r="D432" s="10" t="s">
        <v>202</v>
      </c>
      <c r="E432" s="6">
        <v>1316685.83</v>
      </c>
      <c r="F432" s="6">
        <f>1364512.85+52536.47</f>
        <v>1417049.32</v>
      </c>
      <c r="G432" s="6">
        <f>39151+2818.8</f>
        <v>41969.8</v>
      </c>
      <c r="H432" s="3">
        <v>5300</v>
      </c>
      <c r="I432" s="10" t="s">
        <v>202</v>
      </c>
      <c r="J432" s="6">
        <v>1316685.83</v>
      </c>
      <c r="K432" s="6">
        <f>1364512.85+52536.47</f>
        <v>1417049.32</v>
      </c>
      <c r="L432" s="6">
        <f>39151+2818.8</f>
        <v>41969.8</v>
      </c>
      <c r="M432" s="19">
        <v>425</v>
      </c>
      <c r="N432" s="7" t="s">
        <v>240</v>
      </c>
      <c r="O432" s="20" t="s">
        <v>245</v>
      </c>
      <c r="P432" s="20" t="s">
        <v>245</v>
      </c>
      <c r="Q432" s="20" t="s">
        <v>245</v>
      </c>
      <c r="R432" s="21">
        <v>42653</v>
      </c>
      <c r="S432" s="22" t="s">
        <v>246</v>
      </c>
      <c r="T432" s="22">
        <v>2016</v>
      </c>
      <c r="U432" s="21">
        <v>42643</v>
      </c>
      <c r="V432" s="22"/>
    </row>
    <row r="433" spans="1:22" ht="19.5" customHeight="1" x14ac:dyDescent="0.3">
      <c r="A433" s="3">
        <v>2016</v>
      </c>
      <c r="B433" s="4">
        <v>42552</v>
      </c>
      <c r="C433" s="3">
        <v>5000</v>
      </c>
      <c r="D433" s="7" t="s">
        <v>203</v>
      </c>
      <c r="E433" s="6">
        <v>0</v>
      </c>
      <c r="F433" s="6">
        <f>400000+450000</f>
        <v>850000</v>
      </c>
      <c r="G433" s="6">
        <v>0</v>
      </c>
      <c r="H433" s="3">
        <v>5400</v>
      </c>
      <c r="I433" s="7" t="s">
        <v>203</v>
      </c>
      <c r="J433" s="6">
        <v>0</v>
      </c>
      <c r="K433" s="6">
        <f>400000+450000</f>
        <v>850000</v>
      </c>
      <c r="L433" s="6">
        <v>0</v>
      </c>
      <c r="M433" s="23">
        <v>426</v>
      </c>
      <c r="N433" s="7" t="s">
        <v>240</v>
      </c>
      <c r="O433" s="20" t="s">
        <v>245</v>
      </c>
      <c r="P433" s="20" t="s">
        <v>245</v>
      </c>
      <c r="Q433" s="20" t="s">
        <v>245</v>
      </c>
      <c r="R433" s="21">
        <v>42653</v>
      </c>
      <c r="S433" s="22" t="s">
        <v>246</v>
      </c>
      <c r="T433" s="22">
        <v>2016</v>
      </c>
      <c r="U433" s="21">
        <v>42643</v>
      </c>
      <c r="V433" s="22"/>
    </row>
    <row r="434" spans="1:22" ht="19.5" customHeight="1" x14ac:dyDescent="0.3">
      <c r="A434" s="3">
        <v>2016</v>
      </c>
      <c r="B434" s="4">
        <v>42552</v>
      </c>
      <c r="C434" s="3">
        <v>5000</v>
      </c>
      <c r="D434" s="7" t="s">
        <v>225</v>
      </c>
      <c r="E434" s="6">
        <v>0</v>
      </c>
      <c r="F434" s="6">
        <f>35849.93+220000</f>
        <v>255849.93</v>
      </c>
      <c r="G434" s="6">
        <v>0</v>
      </c>
      <c r="H434" s="3">
        <v>5400</v>
      </c>
      <c r="I434" s="7" t="s">
        <v>225</v>
      </c>
      <c r="J434" s="6">
        <v>0</v>
      </c>
      <c r="K434" s="6">
        <f>35849.93+220000</f>
        <v>255849.93</v>
      </c>
      <c r="L434" s="6">
        <v>0</v>
      </c>
      <c r="M434" s="19">
        <v>427</v>
      </c>
      <c r="N434" s="7" t="s">
        <v>240</v>
      </c>
      <c r="O434" s="20" t="s">
        <v>245</v>
      </c>
      <c r="P434" s="20" t="s">
        <v>245</v>
      </c>
      <c r="Q434" s="20" t="s">
        <v>245</v>
      </c>
      <c r="R434" s="21">
        <v>42653</v>
      </c>
      <c r="S434" s="22" t="s">
        <v>246</v>
      </c>
      <c r="T434" s="22">
        <v>2016</v>
      </c>
      <c r="U434" s="21">
        <v>42643</v>
      </c>
      <c r="V434" s="22"/>
    </row>
    <row r="435" spans="1:22" ht="19.5" customHeight="1" x14ac:dyDescent="0.3">
      <c r="A435" s="3">
        <v>2016</v>
      </c>
      <c r="B435" s="4">
        <v>42552</v>
      </c>
      <c r="C435" s="3">
        <v>5000</v>
      </c>
      <c r="D435" s="7" t="s">
        <v>226</v>
      </c>
      <c r="E435" s="6">
        <v>0</v>
      </c>
      <c r="F435" s="6">
        <v>17400</v>
      </c>
      <c r="G435" s="6">
        <v>17400</v>
      </c>
      <c r="H435" s="3">
        <v>5400</v>
      </c>
      <c r="I435" s="7" t="s">
        <v>226</v>
      </c>
      <c r="J435" s="6">
        <v>0</v>
      </c>
      <c r="K435" s="6">
        <v>17400</v>
      </c>
      <c r="L435" s="6">
        <v>17400</v>
      </c>
      <c r="M435" s="23">
        <v>428</v>
      </c>
      <c r="N435" s="7" t="s">
        <v>240</v>
      </c>
      <c r="O435" s="20" t="s">
        <v>245</v>
      </c>
      <c r="P435" s="20" t="s">
        <v>245</v>
      </c>
      <c r="Q435" s="20" t="s">
        <v>245</v>
      </c>
      <c r="R435" s="21">
        <v>42653</v>
      </c>
      <c r="S435" s="22" t="s">
        <v>246</v>
      </c>
      <c r="T435" s="22">
        <v>2016</v>
      </c>
      <c r="U435" s="21">
        <v>42643</v>
      </c>
      <c r="V435" s="22"/>
    </row>
    <row r="436" spans="1:22" ht="19.5" customHeight="1" x14ac:dyDescent="0.3">
      <c r="A436" s="3">
        <v>2016</v>
      </c>
      <c r="B436" s="4">
        <v>42552</v>
      </c>
      <c r="C436" s="3">
        <v>5000</v>
      </c>
      <c r="D436" s="10" t="s">
        <v>227</v>
      </c>
      <c r="E436" s="6">
        <v>0</v>
      </c>
      <c r="F436" s="6">
        <v>0</v>
      </c>
      <c r="G436" s="6">
        <v>0</v>
      </c>
      <c r="H436" s="3">
        <v>5600</v>
      </c>
      <c r="I436" s="10" t="s">
        <v>227</v>
      </c>
      <c r="J436" s="6">
        <v>0</v>
      </c>
      <c r="K436" s="6">
        <v>0</v>
      </c>
      <c r="L436" s="6">
        <v>0</v>
      </c>
      <c r="M436" s="19">
        <v>429</v>
      </c>
      <c r="N436" s="7" t="s">
        <v>240</v>
      </c>
      <c r="O436" s="20" t="s">
        <v>245</v>
      </c>
      <c r="P436" s="20" t="s">
        <v>245</v>
      </c>
      <c r="Q436" s="20" t="s">
        <v>245</v>
      </c>
      <c r="R436" s="21">
        <v>42653</v>
      </c>
      <c r="S436" s="22" t="s">
        <v>246</v>
      </c>
      <c r="T436" s="22">
        <v>2016</v>
      </c>
      <c r="U436" s="21">
        <v>42643</v>
      </c>
      <c r="V436" s="22"/>
    </row>
    <row r="437" spans="1:22" ht="19.5" customHeight="1" x14ac:dyDescent="0.3">
      <c r="A437" s="3">
        <v>2016</v>
      </c>
      <c r="B437" s="4">
        <v>42552</v>
      </c>
      <c r="C437" s="3">
        <v>5000</v>
      </c>
      <c r="D437" s="7" t="s">
        <v>204</v>
      </c>
      <c r="E437" s="6">
        <v>181488.98</v>
      </c>
      <c r="F437" s="6">
        <f>33634.2+178603.19</f>
        <v>212237.39</v>
      </c>
      <c r="G437" s="6">
        <f>13610.28+151095.09</f>
        <v>164705.37</v>
      </c>
      <c r="H437" s="3">
        <v>5600</v>
      </c>
      <c r="I437" s="7" t="s">
        <v>204</v>
      </c>
      <c r="J437" s="6">
        <v>181488.98</v>
      </c>
      <c r="K437" s="6">
        <f>33634.2+178603.19</f>
        <v>212237.39</v>
      </c>
      <c r="L437" s="6">
        <f>13610.28+151095.09</f>
        <v>164705.37</v>
      </c>
      <c r="M437" s="23">
        <v>430</v>
      </c>
      <c r="N437" s="7" t="s">
        <v>240</v>
      </c>
      <c r="O437" s="20" t="s">
        <v>245</v>
      </c>
      <c r="P437" s="20" t="s">
        <v>245</v>
      </c>
      <c r="Q437" s="20" t="s">
        <v>245</v>
      </c>
      <c r="R437" s="21">
        <v>42653</v>
      </c>
      <c r="S437" s="22" t="s">
        <v>246</v>
      </c>
      <c r="T437" s="22">
        <v>2016</v>
      </c>
      <c r="U437" s="21">
        <v>42643</v>
      </c>
      <c r="V437" s="22"/>
    </row>
    <row r="438" spans="1:22" ht="19.5" customHeight="1" x14ac:dyDescent="0.3">
      <c r="A438" s="3">
        <v>2016</v>
      </c>
      <c r="B438" s="4">
        <v>42552</v>
      </c>
      <c r="C438" s="3">
        <v>5000</v>
      </c>
      <c r="D438" s="7" t="s">
        <v>205</v>
      </c>
      <c r="E438" s="6">
        <v>0</v>
      </c>
      <c r="F438" s="6">
        <v>31794.01</v>
      </c>
      <c r="G438" s="6">
        <v>0</v>
      </c>
      <c r="H438" s="3">
        <v>5600</v>
      </c>
      <c r="I438" s="7" t="s">
        <v>205</v>
      </c>
      <c r="J438" s="6">
        <v>0</v>
      </c>
      <c r="K438" s="6">
        <v>31794.01</v>
      </c>
      <c r="L438" s="6">
        <v>0</v>
      </c>
      <c r="M438" s="19">
        <v>431</v>
      </c>
      <c r="N438" s="7" t="s">
        <v>240</v>
      </c>
      <c r="O438" s="20" t="s">
        <v>245</v>
      </c>
      <c r="P438" s="20" t="s">
        <v>245</v>
      </c>
      <c r="Q438" s="20" t="s">
        <v>245</v>
      </c>
      <c r="R438" s="21">
        <v>42653</v>
      </c>
      <c r="S438" s="22" t="s">
        <v>246</v>
      </c>
      <c r="T438" s="22">
        <v>2016</v>
      </c>
      <c r="U438" s="21">
        <v>42643</v>
      </c>
      <c r="V438" s="22"/>
    </row>
    <row r="439" spans="1:22" ht="19.5" customHeight="1" x14ac:dyDescent="0.3">
      <c r="A439" s="3">
        <v>2016</v>
      </c>
      <c r="B439" s="4">
        <v>42552</v>
      </c>
      <c r="C439" s="3">
        <v>5000</v>
      </c>
      <c r="D439" s="7" t="s">
        <v>206</v>
      </c>
      <c r="E439" s="6">
        <v>41484.94</v>
      </c>
      <c r="F439" s="6">
        <f>74254.7+496449.55</f>
        <v>570704.25</v>
      </c>
      <c r="G439" s="6">
        <v>201034.64</v>
      </c>
      <c r="H439" s="3">
        <v>5600</v>
      </c>
      <c r="I439" s="7" t="s">
        <v>206</v>
      </c>
      <c r="J439" s="6">
        <v>41484.94</v>
      </c>
      <c r="K439" s="6">
        <f>74254.7+496449.55</f>
        <v>570704.25</v>
      </c>
      <c r="L439" s="6">
        <v>201034.64</v>
      </c>
      <c r="M439" s="23">
        <v>432</v>
      </c>
      <c r="N439" s="7" t="s">
        <v>240</v>
      </c>
      <c r="O439" s="20" t="s">
        <v>245</v>
      </c>
      <c r="P439" s="20" t="s">
        <v>245</v>
      </c>
      <c r="Q439" s="20" t="s">
        <v>245</v>
      </c>
      <c r="R439" s="21">
        <v>42653</v>
      </c>
      <c r="S439" s="22" t="s">
        <v>246</v>
      </c>
      <c r="T439" s="22">
        <v>2016</v>
      </c>
      <c r="U439" s="21">
        <v>42643</v>
      </c>
      <c r="V439" s="22"/>
    </row>
    <row r="440" spans="1:22" ht="19.5" customHeight="1" x14ac:dyDescent="0.3">
      <c r="A440" s="3">
        <v>2016</v>
      </c>
      <c r="B440" s="4">
        <v>42552</v>
      </c>
      <c r="C440" s="3">
        <v>5000</v>
      </c>
      <c r="D440" s="7" t="s">
        <v>207</v>
      </c>
      <c r="E440" s="6">
        <v>12324.56</v>
      </c>
      <c r="F440" s="6">
        <f>953329.08+2341348.68</f>
        <v>3294677.7600000002</v>
      </c>
      <c r="G440" s="6">
        <v>381372.79</v>
      </c>
      <c r="H440" s="3">
        <v>5600</v>
      </c>
      <c r="I440" s="7" t="s">
        <v>207</v>
      </c>
      <c r="J440" s="6">
        <v>12324.56</v>
      </c>
      <c r="K440" s="6">
        <f>953329.08+2341348.68</f>
        <v>3294677.7600000002</v>
      </c>
      <c r="L440" s="6">
        <v>381372.79</v>
      </c>
      <c r="M440" s="19">
        <v>433</v>
      </c>
      <c r="N440" s="7" t="s">
        <v>240</v>
      </c>
      <c r="O440" s="20" t="s">
        <v>245</v>
      </c>
      <c r="P440" s="20" t="s">
        <v>245</v>
      </c>
      <c r="Q440" s="20" t="s">
        <v>245</v>
      </c>
      <c r="R440" s="21">
        <v>42653</v>
      </c>
      <c r="S440" s="22" t="s">
        <v>246</v>
      </c>
      <c r="T440" s="22">
        <v>2016</v>
      </c>
      <c r="U440" s="21">
        <v>42643</v>
      </c>
      <c r="V440" s="22"/>
    </row>
    <row r="441" spans="1:22" ht="19.5" customHeight="1" x14ac:dyDescent="0.3">
      <c r="A441" s="3">
        <v>2016</v>
      </c>
      <c r="B441" s="4">
        <v>42552</v>
      </c>
      <c r="C441" s="3">
        <v>5000</v>
      </c>
      <c r="D441" s="7" t="s">
        <v>208</v>
      </c>
      <c r="E441" s="6">
        <v>0</v>
      </c>
      <c r="F441" s="6">
        <v>390189.43</v>
      </c>
      <c r="G441" s="6">
        <v>169424.85</v>
      </c>
      <c r="H441" s="3">
        <v>5600</v>
      </c>
      <c r="I441" s="7" t="s">
        <v>208</v>
      </c>
      <c r="J441" s="6">
        <v>0</v>
      </c>
      <c r="K441" s="6">
        <v>390189.43</v>
      </c>
      <c r="L441" s="6">
        <v>169424.85</v>
      </c>
      <c r="M441" s="23">
        <v>434</v>
      </c>
      <c r="N441" s="7" t="s">
        <v>240</v>
      </c>
      <c r="O441" s="20" t="s">
        <v>245</v>
      </c>
      <c r="P441" s="20" t="s">
        <v>245</v>
      </c>
      <c r="Q441" s="20" t="s">
        <v>245</v>
      </c>
      <c r="R441" s="21">
        <v>42653</v>
      </c>
      <c r="S441" s="22" t="s">
        <v>246</v>
      </c>
      <c r="T441" s="22">
        <v>2016</v>
      </c>
      <c r="U441" s="21">
        <v>42643</v>
      </c>
      <c r="V441" s="22"/>
    </row>
    <row r="442" spans="1:22" ht="19.5" customHeight="1" x14ac:dyDescent="0.3">
      <c r="A442" s="3">
        <v>2016</v>
      </c>
      <c r="B442" s="4">
        <v>42552</v>
      </c>
      <c r="C442" s="3">
        <v>5000</v>
      </c>
      <c r="D442" s="7" t="s">
        <v>209</v>
      </c>
      <c r="E442" s="6">
        <v>3200</v>
      </c>
      <c r="F442" s="6">
        <f>68080.82+164866</f>
        <v>232946.82</v>
      </c>
      <c r="G442" s="6">
        <v>0</v>
      </c>
      <c r="H442" s="3">
        <v>5600</v>
      </c>
      <c r="I442" s="7" t="s">
        <v>209</v>
      </c>
      <c r="J442" s="6">
        <v>3200</v>
      </c>
      <c r="K442" s="6">
        <f>68080.82+164866</f>
        <v>232946.82</v>
      </c>
      <c r="L442" s="6">
        <v>0</v>
      </c>
      <c r="M442" s="19">
        <v>435</v>
      </c>
      <c r="N442" s="7" t="s">
        <v>240</v>
      </c>
      <c r="O442" s="20" t="s">
        <v>245</v>
      </c>
      <c r="P442" s="20" t="s">
        <v>245</v>
      </c>
      <c r="Q442" s="20" t="s">
        <v>245</v>
      </c>
      <c r="R442" s="21">
        <v>42653</v>
      </c>
      <c r="S442" s="22" t="s">
        <v>246</v>
      </c>
      <c r="T442" s="22">
        <v>2016</v>
      </c>
      <c r="U442" s="21">
        <v>42643</v>
      </c>
      <c r="V442" s="22"/>
    </row>
    <row r="443" spans="1:22" ht="19.5" customHeight="1" x14ac:dyDescent="0.3">
      <c r="A443" s="3">
        <v>2016</v>
      </c>
      <c r="B443" s="4">
        <v>42552</v>
      </c>
      <c r="C443" s="3">
        <v>5000</v>
      </c>
      <c r="D443" s="7" t="s">
        <v>210</v>
      </c>
      <c r="E443" s="6">
        <v>19368</v>
      </c>
      <c r="F443" s="6">
        <f>19368+152638.13</f>
        <v>172006.13</v>
      </c>
      <c r="G443" s="6">
        <v>47676</v>
      </c>
      <c r="H443" s="3">
        <v>5600</v>
      </c>
      <c r="I443" s="7" t="s">
        <v>210</v>
      </c>
      <c r="J443" s="6">
        <v>19368</v>
      </c>
      <c r="K443" s="6">
        <f>19368+152638.13</f>
        <v>172006.13</v>
      </c>
      <c r="L443" s="6">
        <v>47676</v>
      </c>
      <c r="M443" s="23">
        <v>436</v>
      </c>
      <c r="N443" s="7" t="s">
        <v>240</v>
      </c>
      <c r="O443" s="20" t="s">
        <v>245</v>
      </c>
      <c r="P443" s="20" t="s">
        <v>245</v>
      </c>
      <c r="Q443" s="20" t="s">
        <v>245</v>
      </c>
      <c r="R443" s="21">
        <v>42653</v>
      </c>
      <c r="S443" s="22" t="s">
        <v>246</v>
      </c>
      <c r="T443" s="22">
        <v>2016</v>
      </c>
      <c r="U443" s="21">
        <v>42643</v>
      </c>
      <c r="V443" s="22"/>
    </row>
    <row r="444" spans="1:22" ht="19.5" customHeight="1" x14ac:dyDescent="0.3">
      <c r="A444" s="3">
        <v>2016</v>
      </c>
      <c r="B444" s="4">
        <v>42552</v>
      </c>
      <c r="C444" s="3">
        <v>5000</v>
      </c>
      <c r="D444" s="7" t="s">
        <v>211</v>
      </c>
      <c r="E444" s="6">
        <v>0</v>
      </c>
      <c r="F444" s="6">
        <v>16000000</v>
      </c>
      <c r="G444" s="6">
        <v>0</v>
      </c>
      <c r="H444" s="3">
        <v>5800</v>
      </c>
      <c r="I444" s="7" t="s">
        <v>211</v>
      </c>
      <c r="J444" s="6">
        <v>0</v>
      </c>
      <c r="K444" s="6">
        <v>16000000</v>
      </c>
      <c r="L444" s="6">
        <v>0</v>
      </c>
      <c r="M444" s="19">
        <v>437</v>
      </c>
      <c r="N444" s="7" t="s">
        <v>240</v>
      </c>
      <c r="O444" s="20" t="s">
        <v>245</v>
      </c>
      <c r="P444" s="20" t="s">
        <v>245</v>
      </c>
      <c r="Q444" s="20" t="s">
        <v>245</v>
      </c>
      <c r="R444" s="21">
        <v>42653</v>
      </c>
      <c r="S444" s="22" t="s">
        <v>246</v>
      </c>
      <c r="T444" s="22">
        <v>2016</v>
      </c>
      <c r="U444" s="21">
        <v>42643</v>
      </c>
      <c r="V444" s="22"/>
    </row>
    <row r="445" spans="1:22" ht="19.5" customHeight="1" x14ac:dyDescent="0.3">
      <c r="A445" s="3">
        <v>2016</v>
      </c>
      <c r="B445" s="4">
        <v>42552</v>
      </c>
      <c r="C445" s="3">
        <v>5000</v>
      </c>
      <c r="D445" s="7" t="s">
        <v>212</v>
      </c>
      <c r="E445" s="6">
        <v>171190</v>
      </c>
      <c r="F445" s="6">
        <f>399404.1+14990+15000000</f>
        <v>15414394.1</v>
      </c>
      <c r="G445" s="6">
        <v>0</v>
      </c>
      <c r="H445" s="3">
        <v>5900</v>
      </c>
      <c r="I445" s="7" t="s">
        <v>212</v>
      </c>
      <c r="J445" s="6">
        <v>171190</v>
      </c>
      <c r="K445" s="6">
        <f>399404.1+14990+15000000</f>
        <v>15414394.1</v>
      </c>
      <c r="L445" s="6">
        <v>0</v>
      </c>
      <c r="M445" s="23">
        <v>438</v>
      </c>
      <c r="N445" s="7" t="s">
        <v>240</v>
      </c>
      <c r="O445" s="20" t="s">
        <v>245</v>
      </c>
      <c r="P445" s="20" t="s">
        <v>245</v>
      </c>
      <c r="Q445" s="20" t="s">
        <v>245</v>
      </c>
      <c r="R445" s="21">
        <v>42653</v>
      </c>
      <c r="S445" s="22" t="s">
        <v>246</v>
      </c>
      <c r="T445" s="22">
        <v>2016</v>
      </c>
      <c r="U445" s="21">
        <v>42643</v>
      </c>
      <c r="V445" s="22"/>
    </row>
    <row r="446" spans="1:22" ht="19.5" customHeight="1" x14ac:dyDescent="0.3">
      <c r="A446" s="3">
        <v>2016</v>
      </c>
      <c r="B446" s="4">
        <v>42552</v>
      </c>
      <c r="C446" s="3">
        <v>5000</v>
      </c>
      <c r="D446" s="7" t="s">
        <v>213</v>
      </c>
      <c r="E446" s="6">
        <v>10000</v>
      </c>
      <c r="F446" s="6">
        <v>5800</v>
      </c>
      <c r="G446" s="6">
        <v>0</v>
      </c>
      <c r="H446" s="3">
        <v>5900</v>
      </c>
      <c r="I446" s="7" t="s">
        <v>213</v>
      </c>
      <c r="J446" s="6">
        <v>10000</v>
      </c>
      <c r="K446" s="6">
        <v>5800</v>
      </c>
      <c r="L446" s="6">
        <v>0</v>
      </c>
      <c r="M446" s="19">
        <v>439</v>
      </c>
      <c r="N446" s="7" t="s">
        <v>240</v>
      </c>
      <c r="O446" s="20" t="s">
        <v>245</v>
      </c>
      <c r="P446" s="20" t="s">
        <v>245</v>
      </c>
      <c r="Q446" s="20" t="s">
        <v>245</v>
      </c>
      <c r="R446" s="21">
        <v>42653</v>
      </c>
      <c r="S446" s="22" t="s">
        <v>246</v>
      </c>
      <c r="T446" s="22">
        <v>2016</v>
      </c>
      <c r="U446" s="21">
        <v>42643</v>
      </c>
      <c r="V446" s="22"/>
    </row>
    <row r="447" spans="1:22" ht="19.5" customHeight="1" x14ac:dyDescent="0.3">
      <c r="A447" s="3">
        <v>2016</v>
      </c>
      <c r="B447" s="4">
        <v>42552</v>
      </c>
      <c r="C447" s="3">
        <v>6000</v>
      </c>
      <c r="D447" s="7" t="s">
        <v>214</v>
      </c>
      <c r="E447" s="13">
        <v>0</v>
      </c>
      <c r="F447" s="13">
        <f>117936529.59+125150000</f>
        <v>243086529.59</v>
      </c>
      <c r="G447" s="13">
        <f>29580254.77+35890716.34</f>
        <v>65470971.109999999</v>
      </c>
      <c r="H447" s="3">
        <v>6200</v>
      </c>
      <c r="I447" s="7" t="s">
        <v>214</v>
      </c>
      <c r="J447" s="13">
        <v>0</v>
      </c>
      <c r="K447" s="13">
        <f>117936529.59+125150000</f>
        <v>243086529.59</v>
      </c>
      <c r="L447" s="13">
        <f>29580254.77+35890716.34</f>
        <v>65470971.109999999</v>
      </c>
      <c r="M447" s="23">
        <v>440</v>
      </c>
      <c r="N447" s="7" t="s">
        <v>241</v>
      </c>
      <c r="O447" s="20" t="s">
        <v>245</v>
      </c>
      <c r="P447" s="20" t="s">
        <v>245</v>
      </c>
      <c r="Q447" s="20" t="s">
        <v>245</v>
      </c>
      <c r="R447" s="21">
        <v>42653</v>
      </c>
      <c r="S447" s="22" t="s">
        <v>246</v>
      </c>
      <c r="T447" s="22">
        <v>2016</v>
      </c>
      <c r="U447" s="21">
        <v>42643</v>
      </c>
      <c r="V447" s="22"/>
    </row>
    <row r="448" spans="1:22" ht="19.5" customHeight="1" x14ac:dyDescent="0.3">
      <c r="A448" s="3">
        <v>2016</v>
      </c>
      <c r="B448" s="4">
        <v>42552</v>
      </c>
      <c r="C448" s="3">
        <v>6000</v>
      </c>
      <c r="D448" s="7" t="s">
        <v>215</v>
      </c>
      <c r="E448" s="13">
        <v>0</v>
      </c>
      <c r="F448" s="13">
        <v>7000000</v>
      </c>
      <c r="G448" s="13">
        <v>0</v>
      </c>
      <c r="H448" s="3">
        <v>6200</v>
      </c>
      <c r="I448" s="7" t="s">
        <v>215</v>
      </c>
      <c r="J448" s="13">
        <v>0</v>
      </c>
      <c r="K448" s="13">
        <v>7000000</v>
      </c>
      <c r="L448" s="13">
        <v>0</v>
      </c>
      <c r="M448" s="19">
        <v>441</v>
      </c>
      <c r="N448" s="7" t="s">
        <v>241</v>
      </c>
      <c r="O448" s="20" t="s">
        <v>245</v>
      </c>
      <c r="P448" s="20" t="s">
        <v>245</v>
      </c>
      <c r="Q448" s="20" t="s">
        <v>245</v>
      </c>
      <c r="R448" s="21">
        <v>42653</v>
      </c>
      <c r="S448" s="22" t="s">
        <v>246</v>
      </c>
      <c r="T448" s="22">
        <v>2016</v>
      </c>
      <c r="U448" s="21">
        <v>42643</v>
      </c>
      <c r="V448" s="22"/>
    </row>
    <row r="449" spans="1:22" ht="19.5" customHeight="1" x14ac:dyDescent="0.3">
      <c r="A449" s="3">
        <v>2016</v>
      </c>
      <c r="B449" s="4">
        <v>42644</v>
      </c>
      <c r="C449" s="3">
        <v>1000</v>
      </c>
      <c r="D449" s="7" t="s">
        <v>72</v>
      </c>
      <c r="E449" s="6">
        <v>313287673.25</v>
      </c>
      <c r="F449" s="6">
        <f>310659352.27+49540070.39</f>
        <v>360199422.65999997</v>
      </c>
      <c r="G449" s="14">
        <v>294482108.70999998</v>
      </c>
      <c r="H449" s="3">
        <v>1100</v>
      </c>
      <c r="I449" s="7" t="s">
        <v>72</v>
      </c>
      <c r="J449" s="6">
        <v>313287673.25</v>
      </c>
      <c r="K449" s="6">
        <f>310659352.27+49540070.39</f>
        <v>360199422.65999997</v>
      </c>
      <c r="L449" s="14">
        <v>294482108.70999998</v>
      </c>
      <c r="M449" s="23">
        <v>442</v>
      </c>
      <c r="N449" s="7" t="s">
        <v>236</v>
      </c>
      <c r="O449" s="20" t="s">
        <v>245</v>
      </c>
      <c r="P449" s="20" t="s">
        <v>245</v>
      </c>
      <c r="Q449" s="20" t="s">
        <v>245</v>
      </c>
      <c r="R449" s="21">
        <v>42745</v>
      </c>
      <c r="S449" s="22" t="s">
        <v>246</v>
      </c>
      <c r="T449" s="22">
        <v>2016</v>
      </c>
      <c r="U449" s="21">
        <v>42735</v>
      </c>
      <c r="V449" s="22"/>
    </row>
    <row r="450" spans="1:22" ht="19.5" customHeight="1" x14ac:dyDescent="0.3">
      <c r="A450" s="3">
        <v>2016</v>
      </c>
      <c r="B450" s="4">
        <v>42644</v>
      </c>
      <c r="C450" s="3">
        <v>1000</v>
      </c>
      <c r="D450" s="7" t="s">
        <v>73</v>
      </c>
      <c r="E450" s="6">
        <v>11046346.859999999</v>
      </c>
      <c r="F450" s="6">
        <f>11046346.86+1002612</f>
        <v>12048958.859999999</v>
      </c>
      <c r="G450" s="14">
        <v>8957906.1399999987</v>
      </c>
      <c r="H450" s="3">
        <v>1200</v>
      </c>
      <c r="I450" s="7" t="s">
        <v>73</v>
      </c>
      <c r="J450" s="6">
        <v>11046346.859999999</v>
      </c>
      <c r="K450" s="6">
        <f>11046346.86+1002612</f>
        <v>12048958.859999999</v>
      </c>
      <c r="L450" s="14">
        <v>8957906.1399999987</v>
      </c>
      <c r="M450" s="19">
        <v>443</v>
      </c>
      <c r="N450" s="7" t="s">
        <v>236</v>
      </c>
      <c r="O450" s="20" t="s">
        <v>245</v>
      </c>
      <c r="P450" s="20" t="s">
        <v>245</v>
      </c>
      <c r="Q450" s="20" t="s">
        <v>245</v>
      </c>
      <c r="R450" s="21">
        <v>42745</v>
      </c>
      <c r="S450" s="22" t="s">
        <v>246</v>
      </c>
      <c r="T450" s="22">
        <v>2016</v>
      </c>
      <c r="U450" s="21">
        <v>42735</v>
      </c>
      <c r="V450" s="22"/>
    </row>
    <row r="451" spans="1:22" ht="19.5" customHeight="1" x14ac:dyDescent="0.3">
      <c r="A451" s="3">
        <v>2016</v>
      </c>
      <c r="B451" s="4">
        <v>42644</v>
      </c>
      <c r="C451" s="3">
        <v>1000</v>
      </c>
      <c r="D451" s="7" t="s">
        <v>74</v>
      </c>
      <c r="E451" s="6">
        <v>0</v>
      </c>
      <c r="F451" s="6">
        <v>10990.08</v>
      </c>
      <c r="G451" s="14">
        <v>0</v>
      </c>
      <c r="H451" s="3">
        <v>1300</v>
      </c>
      <c r="I451" s="7" t="s">
        <v>74</v>
      </c>
      <c r="J451" s="6">
        <v>0</v>
      </c>
      <c r="K451" s="6">
        <v>10990.08</v>
      </c>
      <c r="L451" s="14">
        <v>0</v>
      </c>
      <c r="M451" s="23">
        <v>444</v>
      </c>
      <c r="N451" s="7" t="s">
        <v>236</v>
      </c>
      <c r="O451" s="20" t="s">
        <v>245</v>
      </c>
      <c r="P451" s="20" t="s">
        <v>245</v>
      </c>
      <c r="Q451" s="20" t="s">
        <v>245</v>
      </c>
      <c r="R451" s="21">
        <v>42745</v>
      </c>
      <c r="S451" s="22" t="s">
        <v>246</v>
      </c>
      <c r="T451" s="22">
        <v>2016</v>
      </c>
      <c r="U451" s="21">
        <v>42735</v>
      </c>
      <c r="V451" s="22"/>
    </row>
    <row r="452" spans="1:22" ht="19.5" customHeight="1" x14ac:dyDescent="0.3">
      <c r="A452" s="3">
        <v>2016</v>
      </c>
      <c r="B452" s="4">
        <v>42644</v>
      </c>
      <c r="C452" s="3">
        <v>1000</v>
      </c>
      <c r="D452" s="8" t="s">
        <v>75</v>
      </c>
      <c r="E452" s="6">
        <v>29170916.25</v>
      </c>
      <c r="F452" s="6">
        <v>29298148.300000001</v>
      </c>
      <c r="G452" s="14">
        <v>28225925.82</v>
      </c>
      <c r="H452" s="3">
        <v>1300</v>
      </c>
      <c r="I452" s="8" t="s">
        <v>75</v>
      </c>
      <c r="J452" s="6">
        <v>29170916.25</v>
      </c>
      <c r="K452" s="6">
        <v>29298148.300000001</v>
      </c>
      <c r="L452" s="14">
        <v>28225925.82</v>
      </c>
      <c r="M452" s="19">
        <v>445</v>
      </c>
      <c r="N452" s="7" t="s">
        <v>236</v>
      </c>
      <c r="O452" s="20" t="s">
        <v>245</v>
      </c>
      <c r="P452" s="20" t="s">
        <v>245</v>
      </c>
      <c r="Q452" s="20" t="s">
        <v>245</v>
      </c>
      <c r="R452" s="21">
        <v>42745</v>
      </c>
      <c r="S452" s="22" t="s">
        <v>246</v>
      </c>
      <c r="T452" s="22">
        <v>2016</v>
      </c>
      <c r="U452" s="21">
        <v>42735</v>
      </c>
      <c r="V452" s="22"/>
    </row>
    <row r="453" spans="1:22" ht="19.5" customHeight="1" x14ac:dyDescent="0.3">
      <c r="A453" s="3">
        <v>2016</v>
      </c>
      <c r="B453" s="4">
        <v>42644</v>
      </c>
      <c r="C453" s="3">
        <v>1000</v>
      </c>
      <c r="D453" s="8" t="s">
        <v>76</v>
      </c>
      <c r="E453" s="6">
        <v>33344246.120000001</v>
      </c>
      <c r="F453" s="6">
        <f>34258385.67+7634088.51+306968.83</f>
        <v>42199443.009999998</v>
      </c>
      <c r="G453" s="14">
        <v>33580195.670000009</v>
      </c>
      <c r="H453" s="3">
        <v>1300</v>
      </c>
      <c r="I453" s="8" t="s">
        <v>76</v>
      </c>
      <c r="J453" s="6">
        <v>33344246.120000001</v>
      </c>
      <c r="K453" s="6">
        <f>34258385.67+7634088.51+306968.83</f>
        <v>42199443.009999998</v>
      </c>
      <c r="L453" s="14">
        <v>33580195.670000009</v>
      </c>
      <c r="M453" s="23">
        <v>446</v>
      </c>
      <c r="N453" s="7" t="s">
        <v>236</v>
      </c>
      <c r="O453" s="20" t="s">
        <v>245</v>
      </c>
      <c r="P453" s="20" t="s">
        <v>245</v>
      </c>
      <c r="Q453" s="20" t="s">
        <v>245</v>
      </c>
      <c r="R453" s="21">
        <v>42745</v>
      </c>
      <c r="S453" s="22" t="s">
        <v>246</v>
      </c>
      <c r="T453" s="22">
        <v>2016</v>
      </c>
      <c r="U453" s="21">
        <v>42735</v>
      </c>
      <c r="V453" s="22"/>
    </row>
    <row r="454" spans="1:22" ht="19.5" customHeight="1" x14ac:dyDescent="0.3">
      <c r="A454" s="3">
        <v>2016</v>
      </c>
      <c r="B454" s="4">
        <v>42644</v>
      </c>
      <c r="C454" s="3">
        <v>1000</v>
      </c>
      <c r="D454" s="8" t="s">
        <v>77</v>
      </c>
      <c r="E454" s="6">
        <v>630000</v>
      </c>
      <c r="F454" s="6">
        <f>943879.87+152906.1</f>
        <v>1096785.97</v>
      </c>
      <c r="G454" s="14">
        <v>1099501.6000000001</v>
      </c>
      <c r="H454" s="3">
        <v>1300</v>
      </c>
      <c r="I454" s="8" t="s">
        <v>77</v>
      </c>
      <c r="J454" s="6">
        <v>630000</v>
      </c>
      <c r="K454" s="6">
        <f>943879.87+152906.1</f>
        <v>1096785.97</v>
      </c>
      <c r="L454" s="14">
        <v>1099501.6000000001</v>
      </c>
      <c r="M454" s="19">
        <v>447</v>
      </c>
      <c r="N454" s="7" t="s">
        <v>236</v>
      </c>
      <c r="O454" s="20" t="s">
        <v>245</v>
      </c>
      <c r="P454" s="20" t="s">
        <v>245</v>
      </c>
      <c r="Q454" s="20" t="s">
        <v>245</v>
      </c>
      <c r="R454" s="21">
        <v>42745</v>
      </c>
      <c r="S454" s="22" t="s">
        <v>246</v>
      </c>
      <c r="T454" s="22">
        <v>2016</v>
      </c>
      <c r="U454" s="21">
        <v>42735</v>
      </c>
      <c r="V454" s="22"/>
    </row>
    <row r="455" spans="1:22" ht="19.5" customHeight="1" x14ac:dyDescent="0.3">
      <c r="A455" s="3">
        <v>2016</v>
      </c>
      <c r="B455" s="4">
        <v>42644</v>
      </c>
      <c r="C455" s="3">
        <v>1000</v>
      </c>
      <c r="D455" s="8" t="s">
        <v>78</v>
      </c>
      <c r="E455" s="6">
        <v>210000</v>
      </c>
      <c r="F455" s="6">
        <v>210000</v>
      </c>
      <c r="G455" s="14">
        <v>46776</v>
      </c>
      <c r="H455" s="3">
        <v>1300</v>
      </c>
      <c r="I455" s="8" t="s">
        <v>78</v>
      </c>
      <c r="J455" s="6">
        <v>210000</v>
      </c>
      <c r="K455" s="6">
        <v>210000</v>
      </c>
      <c r="L455" s="14">
        <v>46776</v>
      </c>
      <c r="M455" s="23">
        <v>448</v>
      </c>
      <c r="N455" s="7" t="s">
        <v>236</v>
      </c>
      <c r="O455" s="20" t="s">
        <v>245</v>
      </c>
      <c r="P455" s="20" t="s">
        <v>245</v>
      </c>
      <c r="Q455" s="20" t="s">
        <v>245</v>
      </c>
      <c r="R455" s="21">
        <v>42745</v>
      </c>
      <c r="S455" s="22" t="s">
        <v>246</v>
      </c>
      <c r="T455" s="22">
        <v>2016</v>
      </c>
      <c r="U455" s="21">
        <v>42735</v>
      </c>
      <c r="V455" s="22"/>
    </row>
    <row r="456" spans="1:22" ht="19.5" customHeight="1" x14ac:dyDescent="0.3">
      <c r="A456" s="3">
        <v>2016</v>
      </c>
      <c r="B456" s="4">
        <v>42644</v>
      </c>
      <c r="C456" s="3">
        <v>1000</v>
      </c>
      <c r="D456" s="9" t="s">
        <v>79</v>
      </c>
      <c r="E456" s="6">
        <v>29919791.989999998</v>
      </c>
      <c r="F456" s="6">
        <f>29843017.01+2468290.26</f>
        <v>32311307.270000003</v>
      </c>
      <c r="G456" s="14">
        <v>29888444.379999999</v>
      </c>
      <c r="H456" s="3">
        <v>1400</v>
      </c>
      <c r="I456" s="9" t="s">
        <v>79</v>
      </c>
      <c r="J456" s="6">
        <v>29919791.989999998</v>
      </c>
      <c r="K456" s="6">
        <f>29843017.01+2468290.26</f>
        <v>32311307.270000003</v>
      </c>
      <c r="L456" s="14">
        <v>29888444.379999999</v>
      </c>
      <c r="M456" s="19">
        <v>449</v>
      </c>
      <c r="N456" s="7" t="s">
        <v>236</v>
      </c>
      <c r="O456" s="20" t="s">
        <v>245</v>
      </c>
      <c r="P456" s="20" t="s">
        <v>245</v>
      </c>
      <c r="Q456" s="20" t="s">
        <v>245</v>
      </c>
      <c r="R456" s="21">
        <v>42745</v>
      </c>
      <c r="S456" s="22" t="s">
        <v>246</v>
      </c>
      <c r="T456" s="22">
        <v>2016</v>
      </c>
      <c r="U456" s="21">
        <v>42735</v>
      </c>
      <c r="V456" s="22"/>
    </row>
    <row r="457" spans="1:22" ht="19.5" customHeight="1" x14ac:dyDescent="0.3">
      <c r="A457" s="3">
        <v>2016</v>
      </c>
      <c r="B457" s="4">
        <v>42644</v>
      </c>
      <c r="C457" s="3">
        <v>1000</v>
      </c>
      <c r="D457" s="9" t="s">
        <v>80</v>
      </c>
      <c r="E457" s="6">
        <v>15004910.73</v>
      </c>
      <c r="F457" s="6">
        <f>14883683.99+2491429.79</f>
        <v>17375113.780000001</v>
      </c>
      <c r="G457" s="14">
        <v>14715594.890000001</v>
      </c>
      <c r="H457" s="3">
        <v>1400</v>
      </c>
      <c r="I457" s="9" t="s">
        <v>80</v>
      </c>
      <c r="J457" s="6">
        <v>15004910.73</v>
      </c>
      <c r="K457" s="6">
        <f>14883683.99+2491429.79</f>
        <v>17375113.780000001</v>
      </c>
      <c r="L457" s="14">
        <v>14715594.890000001</v>
      </c>
      <c r="M457" s="23">
        <v>450</v>
      </c>
      <c r="N457" s="7" t="s">
        <v>236</v>
      </c>
      <c r="O457" s="20" t="s">
        <v>245</v>
      </c>
      <c r="P457" s="20" t="s">
        <v>245</v>
      </c>
      <c r="Q457" s="20" t="s">
        <v>245</v>
      </c>
      <c r="R457" s="21">
        <v>42745</v>
      </c>
      <c r="S457" s="22" t="s">
        <v>246</v>
      </c>
      <c r="T457" s="22">
        <v>2016</v>
      </c>
      <c r="U457" s="21">
        <v>42735</v>
      </c>
      <c r="V457" s="22"/>
    </row>
    <row r="458" spans="1:22" ht="19.5" customHeight="1" x14ac:dyDescent="0.3">
      <c r="A458" s="3">
        <v>2016</v>
      </c>
      <c r="B458" s="4">
        <v>42644</v>
      </c>
      <c r="C458" s="3">
        <v>1000</v>
      </c>
      <c r="D458" s="9" t="s">
        <v>81</v>
      </c>
      <c r="E458" s="6">
        <v>16212582.550000001</v>
      </c>
      <c r="F458" s="6">
        <f>16468390.38+170249.16</f>
        <v>16638639.540000001</v>
      </c>
      <c r="G458" s="14">
        <v>16850357.719999999</v>
      </c>
      <c r="H458" s="3">
        <v>1400</v>
      </c>
      <c r="I458" s="9" t="s">
        <v>81</v>
      </c>
      <c r="J458" s="6">
        <v>16212582.550000001</v>
      </c>
      <c r="K458" s="6">
        <f>16468390.38+170249.16</f>
        <v>16638639.540000001</v>
      </c>
      <c r="L458" s="14">
        <v>16850357.719999999</v>
      </c>
      <c r="M458" s="19">
        <v>451</v>
      </c>
      <c r="N458" s="7" t="s">
        <v>236</v>
      </c>
      <c r="O458" s="20" t="s">
        <v>245</v>
      </c>
      <c r="P458" s="20" t="s">
        <v>245</v>
      </c>
      <c r="Q458" s="20" t="s">
        <v>245</v>
      </c>
      <c r="R458" s="21">
        <v>42745</v>
      </c>
      <c r="S458" s="22" t="s">
        <v>246</v>
      </c>
      <c r="T458" s="22">
        <v>2016</v>
      </c>
      <c r="U458" s="21">
        <v>42735</v>
      </c>
      <c r="V458" s="22"/>
    </row>
    <row r="459" spans="1:22" ht="19.5" customHeight="1" x14ac:dyDescent="0.3">
      <c r="A459" s="3">
        <v>2016</v>
      </c>
      <c r="B459" s="4">
        <v>42644</v>
      </c>
      <c r="C459" s="3">
        <v>1000</v>
      </c>
      <c r="D459" s="9" t="s">
        <v>82</v>
      </c>
      <c r="E459" s="6">
        <v>14794007.189999999</v>
      </c>
      <c r="F459" s="6">
        <v>14122471.199999999</v>
      </c>
      <c r="G459" s="14">
        <v>13361155.049999999</v>
      </c>
      <c r="H459" s="3">
        <v>1400</v>
      </c>
      <c r="I459" s="9" t="s">
        <v>82</v>
      </c>
      <c r="J459" s="6">
        <v>14794007.189999999</v>
      </c>
      <c r="K459" s="6">
        <v>14122471.199999999</v>
      </c>
      <c r="L459" s="14">
        <v>13361155.049999999</v>
      </c>
      <c r="M459" s="23">
        <v>452</v>
      </c>
      <c r="N459" s="7" t="s">
        <v>236</v>
      </c>
      <c r="O459" s="20" t="s">
        <v>245</v>
      </c>
      <c r="P459" s="20" t="s">
        <v>245</v>
      </c>
      <c r="Q459" s="20" t="s">
        <v>245</v>
      </c>
      <c r="R459" s="21">
        <v>42745</v>
      </c>
      <c r="S459" s="22" t="s">
        <v>246</v>
      </c>
      <c r="T459" s="22">
        <v>2016</v>
      </c>
      <c r="U459" s="21">
        <v>42735</v>
      </c>
      <c r="V459" s="22"/>
    </row>
    <row r="460" spans="1:22" ht="19.5" customHeight="1" x14ac:dyDescent="0.3">
      <c r="A460" s="3">
        <v>2016</v>
      </c>
      <c r="B460" s="4">
        <v>42644</v>
      </c>
      <c r="C460" s="3">
        <v>1000</v>
      </c>
      <c r="D460" s="9" t="s">
        <v>83</v>
      </c>
      <c r="E460" s="6">
        <v>1036899.45</v>
      </c>
      <c r="F460" s="6">
        <v>807044.85</v>
      </c>
      <c r="G460" s="14">
        <v>0</v>
      </c>
      <c r="H460" s="3">
        <v>1400</v>
      </c>
      <c r="I460" s="9" t="s">
        <v>83</v>
      </c>
      <c r="J460" s="6">
        <v>1036899.45</v>
      </c>
      <c r="K460" s="6">
        <v>807044.85</v>
      </c>
      <c r="L460" s="14">
        <v>0</v>
      </c>
      <c r="M460" s="19">
        <v>453</v>
      </c>
      <c r="N460" s="7" t="s">
        <v>236</v>
      </c>
      <c r="O460" s="20" t="s">
        <v>245</v>
      </c>
      <c r="P460" s="20" t="s">
        <v>245</v>
      </c>
      <c r="Q460" s="20" t="s">
        <v>245</v>
      </c>
      <c r="R460" s="21">
        <v>42745</v>
      </c>
      <c r="S460" s="22" t="s">
        <v>246</v>
      </c>
      <c r="T460" s="22">
        <v>2016</v>
      </c>
      <c r="U460" s="21">
        <v>42735</v>
      </c>
      <c r="V460" s="22"/>
    </row>
    <row r="461" spans="1:22" ht="19.5" customHeight="1" x14ac:dyDescent="0.3">
      <c r="A461" s="3">
        <v>2016</v>
      </c>
      <c r="B461" s="4">
        <v>42644</v>
      </c>
      <c r="C461" s="3">
        <v>1000</v>
      </c>
      <c r="D461" s="9" t="s">
        <v>84</v>
      </c>
      <c r="E461" s="6">
        <v>0</v>
      </c>
      <c r="F461" s="6">
        <v>6323285.5300000003</v>
      </c>
      <c r="G461" s="14">
        <v>2066779.48</v>
      </c>
      <c r="H461" s="3">
        <v>1500</v>
      </c>
      <c r="I461" s="9" t="s">
        <v>84</v>
      </c>
      <c r="J461" s="6">
        <v>0</v>
      </c>
      <c r="K461" s="6">
        <v>6323285.5300000003</v>
      </c>
      <c r="L461" s="14">
        <v>2066779.48</v>
      </c>
      <c r="M461" s="23">
        <v>454</v>
      </c>
      <c r="N461" s="7" t="s">
        <v>236</v>
      </c>
      <c r="O461" s="20" t="s">
        <v>245</v>
      </c>
      <c r="P461" s="20" t="s">
        <v>245</v>
      </c>
      <c r="Q461" s="20" t="s">
        <v>245</v>
      </c>
      <c r="R461" s="21">
        <v>42745</v>
      </c>
      <c r="S461" s="22" t="s">
        <v>246</v>
      </c>
      <c r="T461" s="22">
        <v>2016</v>
      </c>
      <c r="U461" s="21">
        <v>42735</v>
      </c>
      <c r="V461" s="22"/>
    </row>
    <row r="462" spans="1:22" ht="19.5" customHeight="1" x14ac:dyDescent="0.3">
      <c r="A462" s="3">
        <v>2016</v>
      </c>
      <c r="B462" s="4">
        <v>42644</v>
      </c>
      <c r="C462" s="3">
        <v>1000</v>
      </c>
      <c r="D462" s="9" t="s">
        <v>85</v>
      </c>
      <c r="E462" s="6">
        <v>6007116.7999999998</v>
      </c>
      <c r="F462" s="6">
        <v>5986725.5199999996</v>
      </c>
      <c r="G462" s="14">
        <v>1724536</v>
      </c>
      <c r="H462" s="3">
        <v>1500</v>
      </c>
      <c r="I462" s="9" t="s">
        <v>85</v>
      </c>
      <c r="J462" s="6">
        <v>6007116.7999999998</v>
      </c>
      <c r="K462" s="6">
        <v>5986725.5199999996</v>
      </c>
      <c r="L462" s="14">
        <v>1724536</v>
      </c>
      <c r="M462" s="19">
        <v>455</v>
      </c>
      <c r="N462" s="7" t="s">
        <v>236</v>
      </c>
      <c r="O462" s="20" t="s">
        <v>245</v>
      </c>
      <c r="P462" s="20" t="s">
        <v>245</v>
      </c>
      <c r="Q462" s="20" t="s">
        <v>245</v>
      </c>
      <c r="R462" s="21">
        <v>42745</v>
      </c>
      <c r="S462" s="22" t="s">
        <v>246</v>
      </c>
      <c r="T462" s="22">
        <v>2016</v>
      </c>
      <c r="U462" s="21">
        <v>42735</v>
      </c>
      <c r="V462" s="22"/>
    </row>
    <row r="463" spans="1:22" ht="19.5" customHeight="1" x14ac:dyDescent="0.3">
      <c r="A463" s="3">
        <v>2016</v>
      </c>
      <c r="B463" s="4">
        <v>42644</v>
      </c>
      <c r="C463" s="3">
        <v>1000</v>
      </c>
      <c r="D463" s="9" t="s">
        <v>86</v>
      </c>
      <c r="E463" s="6">
        <v>150000</v>
      </c>
      <c r="F463" s="6">
        <v>150000</v>
      </c>
      <c r="G463" s="14">
        <v>117531</v>
      </c>
      <c r="H463" s="3">
        <v>1500</v>
      </c>
      <c r="I463" s="9" t="s">
        <v>86</v>
      </c>
      <c r="J463" s="6">
        <v>150000</v>
      </c>
      <c r="K463" s="6">
        <v>150000</v>
      </c>
      <c r="L463" s="14">
        <v>117531</v>
      </c>
      <c r="M463" s="23">
        <v>456</v>
      </c>
      <c r="N463" s="7" t="s">
        <v>236</v>
      </c>
      <c r="O463" s="20" t="s">
        <v>245</v>
      </c>
      <c r="P463" s="20" t="s">
        <v>245</v>
      </c>
      <c r="Q463" s="20" t="s">
        <v>245</v>
      </c>
      <c r="R463" s="21">
        <v>42745</v>
      </c>
      <c r="S463" s="22" t="s">
        <v>246</v>
      </c>
      <c r="T463" s="22">
        <v>2016</v>
      </c>
      <c r="U463" s="21">
        <v>42735</v>
      </c>
      <c r="V463" s="22"/>
    </row>
    <row r="464" spans="1:22" ht="19.5" customHeight="1" x14ac:dyDescent="0.3">
      <c r="A464" s="3">
        <v>2016</v>
      </c>
      <c r="B464" s="4">
        <v>42644</v>
      </c>
      <c r="C464" s="3">
        <v>1000</v>
      </c>
      <c r="D464" s="9" t="s">
        <v>87</v>
      </c>
      <c r="E464" s="6">
        <v>615000</v>
      </c>
      <c r="F464" s="6">
        <v>615000</v>
      </c>
      <c r="G464" s="14">
        <v>269345.59999999998</v>
      </c>
      <c r="H464" s="3">
        <v>1500</v>
      </c>
      <c r="I464" s="9" t="s">
        <v>87</v>
      </c>
      <c r="J464" s="6">
        <v>615000</v>
      </c>
      <c r="K464" s="6">
        <v>615000</v>
      </c>
      <c r="L464" s="14">
        <v>269345.59999999998</v>
      </c>
      <c r="M464" s="19">
        <v>457</v>
      </c>
      <c r="N464" s="7" t="s">
        <v>236</v>
      </c>
      <c r="O464" s="20" t="s">
        <v>245</v>
      </c>
      <c r="P464" s="20" t="s">
        <v>245</v>
      </c>
      <c r="Q464" s="20" t="s">
        <v>245</v>
      </c>
      <c r="R464" s="21">
        <v>42745</v>
      </c>
      <c r="S464" s="22" t="s">
        <v>246</v>
      </c>
      <c r="T464" s="22">
        <v>2016</v>
      </c>
      <c r="U464" s="21">
        <v>42735</v>
      </c>
      <c r="V464" s="22"/>
    </row>
    <row r="465" spans="1:22" ht="19.5" customHeight="1" x14ac:dyDescent="0.3">
      <c r="A465" s="3">
        <v>2016</v>
      </c>
      <c r="B465" s="4">
        <v>42644</v>
      </c>
      <c r="C465" s="3">
        <v>1000</v>
      </c>
      <c r="D465" s="9" t="s">
        <v>88</v>
      </c>
      <c r="E465" s="6">
        <v>120017944.8</v>
      </c>
      <c r="F465" s="6">
        <f>118407515.97+10915031.69</f>
        <v>129322547.66</v>
      </c>
      <c r="G465" s="14">
        <v>65431378.88000001</v>
      </c>
      <c r="H465" s="3">
        <v>1500</v>
      </c>
      <c r="I465" s="9" t="s">
        <v>88</v>
      </c>
      <c r="J465" s="6">
        <v>120017944.8</v>
      </c>
      <c r="K465" s="6">
        <f>118407515.97+10915031.69</f>
        <v>129322547.66</v>
      </c>
      <c r="L465" s="14">
        <v>65431378.88000001</v>
      </c>
      <c r="M465" s="23">
        <v>458</v>
      </c>
      <c r="N465" s="7" t="s">
        <v>236</v>
      </c>
      <c r="O465" s="20" t="s">
        <v>245</v>
      </c>
      <c r="P465" s="20" t="s">
        <v>245</v>
      </c>
      <c r="Q465" s="20" t="s">
        <v>245</v>
      </c>
      <c r="R465" s="21">
        <v>42745</v>
      </c>
      <c r="S465" s="22" t="s">
        <v>246</v>
      </c>
      <c r="T465" s="22">
        <v>2016</v>
      </c>
      <c r="U465" s="21">
        <v>42735</v>
      </c>
      <c r="V465" s="22"/>
    </row>
    <row r="466" spans="1:22" ht="19.5" customHeight="1" x14ac:dyDescent="0.3">
      <c r="A466" s="3">
        <v>2016</v>
      </c>
      <c r="B466" s="4">
        <v>42644</v>
      </c>
      <c r="C466" s="3">
        <v>1000</v>
      </c>
      <c r="D466" s="9" t="s">
        <v>89</v>
      </c>
      <c r="E466" s="6">
        <v>841200</v>
      </c>
      <c r="F466" s="6">
        <v>934326</v>
      </c>
      <c r="G466" s="14">
        <v>858220</v>
      </c>
      <c r="H466" s="3">
        <v>1500</v>
      </c>
      <c r="I466" s="9" t="s">
        <v>89</v>
      </c>
      <c r="J466" s="6">
        <v>841200</v>
      </c>
      <c r="K466" s="6">
        <v>934326</v>
      </c>
      <c r="L466" s="14">
        <v>858220</v>
      </c>
      <c r="M466" s="19">
        <v>459</v>
      </c>
      <c r="N466" s="7" t="s">
        <v>236</v>
      </c>
      <c r="O466" s="20" t="s">
        <v>245</v>
      </c>
      <c r="P466" s="20" t="s">
        <v>245</v>
      </c>
      <c r="Q466" s="20" t="s">
        <v>245</v>
      </c>
      <c r="R466" s="21">
        <v>42745</v>
      </c>
      <c r="S466" s="22" t="s">
        <v>246</v>
      </c>
      <c r="T466" s="22">
        <v>2016</v>
      </c>
      <c r="U466" s="21">
        <v>42735</v>
      </c>
      <c r="V466" s="22"/>
    </row>
    <row r="467" spans="1:22" ht="19.5" customHeight="1" x14ac:dyDescent="0.3">
      <c r="A467" s="3">
        <v>2016</v>
      </c>
      <c r="B467" s="4">
        <v>42644</v>
      </c>
      <c r="C467" s="3">
        <v>1000</v>
      </c>
      <c r="D467" s="7" t="s">
        <v>90</v>
      </c>
      <c r="E467" s="6">
        <v>359652</v>
      </c>
      <c r="F467" s="6">
        <v>359652</v>
      </c>
      <c r="G467" s="14">
        <v>359356.8</v>
      </c>
      <c r="H467" s="3">
        <v>1500</v>
      </c>
      <c r="I467" s="7" t="s">
        <v>90</v>
      </c>
      <c r="J467" s="6">
        <v>359652</v>
      </c>
      <c r="K467" s="6">
        <v>359652</v>
      </c>
      <c r="L467" s="14">
        <v>359356.8</v>
      </c>
      <c r="M467" s="23">
        <v>460</v>
      </c>
      <c r="N467" s="7" t="s">
        <v>236</v>
      </c>
      <c r="O467" s="20" t="s">
        <v>245</v>
      </c>
      <c r="P467" s="20" t="s">
        <v>245</v>
      </c>
      <c r="Q467" s="20" t="s">
        <v>245</v>
      </c>
      <c r="R467" s="21">
        <v>42745</v>
      </c>
      <c r="S467" s="22" t="s">
        <v>246</v>
      </c>
      <c r="T467" s="22">
        <v>2016</v>
      </c>
      <c r="U467" s="21">
        <v>42735</v>
      </c>
      <c r="V467" s="22"/>
    </row>
    <row r="468" spans="1:22" ht="19.5" customHeight="1" x14ac:dyDescent="0.3">
      <c r="A468" s="3">
        <v>2016</v>
      </c>
      <c r="B468" s="4">
        <v>42644</v>
      </c>
      <c r="C468" s="3">
        <v>1000</v>
      </c>
      <c r="D468" s="7" t="s">
        <v>91</v>
      </c>
      <c r="E468" s="6">
        <f>273868426.69+150000000</f>
        <v>423868426.69</v>
      </c>
      <c r="F468" s="6">
        <f>270559521.05+73803619.1+507476.76</f>
        <v>344870616.90999997</v>
      </c>
      <c r="G468" s="14">
        <v>411198589.10999995</v>
      </c>
      <c r="H468" s="3">
        <v>1500</v>
      </c>
      <c r="I468" s="7" t="s">
        <v>91</v>
      </c>
      <c r="J468" s="6">
        <f>273868426.69+150000000</f>
        <v>423868426.69</v>
      </c>
      <c r="K468" s="6">
        <f>270559521.05+73803619.1+507476.76</f>
        <v>344870616.90999997</v>
      </c>
      <c r="L468" s="14">
        <v>411198589.10999995</v>
      </c>
      <c r="M468" s="19">
        <v>461</v>
      </c>
      <c r="N468" s="7" t="s">
        <v>236</v>
      </c>
      <c r="O468" s="20" t="s">
        <v>245</v>
      </c>
      <c r="P468" s="20" t="s">
        <v>245</v>
      </c>
      <c r="Q468" s="20" t="s">
        <v>245</v>
      </c>
      <c r="R468" s="21">
        <v>42745</v>
      </c>
      <c r="S468" s="22" t="s">
        <v>246</v>
      </c>
      <c r="T468" s="22">
        <v>2016</v>
      </c>
      <c r="U468" s="21">
        <v>42735</v>
      </c>
      <c r="V468" s="22"/>
    </row>
    <row r="469" spans="1:22" ht="19.5" customHeight="1" x14ac:dyDescent="0.3">
      <c r="A469" s="3">
        <v>2016</v>
      </c>
      <c r="B469" s="4">
        <v>42644</v>
      </c>
      <c r="C469" s="3">
        <v>2000</v>
      </c>
      <c r="D469" s="9" t="s">
        <v>93</v>
      </c>
      <c r="E469" s="6">
        <v>2635826.1</v>
      </c>
      <c r="F469" s="6">
        <f>1711829.02+989649.94</f>
        <v>2701478.96</v>
      </c>
      <c r="G469" s="14">
        <v>2592114.5300000003</v>
      </c>
      <c r="H469" s="3">
        <v>2100</v>
      </c>
      <c r="I469" s="9" t="s">
        <v>93</v>
      </c>
      <c r="J469" s="6">
        <v>2635826.1</v>
      </c>
      <c r="K469" s="6">
        <f>1711829.02+989649.94</f>
        <v>2701478.96</v>
      </c>
      <c r="L469" s="14">
        <v>2592114.5300000003</v>
      </c>
      <c r="M469" s="23">
        <v>462</v>
      </c>
      <c r="N469" s="7" t="s">
        <v>237</v>
      </c>
      <c r="O469" s="20" t="s">
        <v>245</v>
      </c>
      <c r="P469" s="20" t="s">
        <v>245</v>
      </c>
      <c r="Q469" s="20" t="s">
        <v>245</v>
      </c>
      <c r="R469" s="21">
        <v>42745</v>
      </c>
      <c r="S469" s="22" t="s">
        <v>246</v>
      </c>
      <c r="T469" s="22">
        <v>2016</v>
      </c>
      <c r="U469" s="21">
        <v>42735</v>
      </c>
      <c r="V469" s="22"/>
    </row>
    <row r="470" spans="1:22" ht="19.5" customHeight="1" x14ac:dyDescent="0.3">
      <c r="A470" s="3">
        <v>2016</v>
      </c>
      <c r="B470" s="4">
        <v>42644</v>
      </c>
      <c r="C470" s="3">
        <v>2000</v>
      </c>
      <c r="D470" s="9" t="s">
        <v>94</v>
      </c>
      <c r="E470" s="6">
        <v>2756274</v>
      </c>
      <c r="F470" s="6">
        <f>1429126.69+153514.4</f>
        <v>1582641.0899999999</v>
      </c>
      <c r="G470" s="14">
        <v>845758.73</v>
      </c>
      <c r="H470" s="3">
        <v>2100</v>
      </c>
      <c r="I470" s="9" t="s">
        <v>94</v>
      </c>
      <c r="J470" s="6">
        <v>2756274</v>
      </c>
      <c r="K470" s="6">
        <f>1429126.69+153514.4</f>
        <v>1582641.0899999999</v>
      </c>
      <c r="L470" s="14">
        <v>845758.73</v>
      </c>
      <c r="M470" s="19">
        <v>463</v>
      </c>
      <c r="N470" s="7" t="s">
        <v>237</v>
      </c>
      <c r="O470" s="20" t="s">
        <v>245</v>
      </c>
      <c r="P470" s="20" t="s">
        <v>245</v>
      </c>
      <c r="Q470" s="20" t="s">
        <v>245</v>
      </c>
      <c r="R470" s="21">
        <v>42745</v>
      </c>
      <c r="S470" s="22" t="s">
        <v>246</v>
      </c>
      <c r="T470" s="22">
        <v>2016</v>
      </c>
      <c r="U470" s="21">
        <v>42735</v>
      </c>
      <c r="V470" s="22"/>
    </row>
    <row r="471" spans="1:22" ht="19.5" customHeight="1" x14ac:dyDescent="0.3">
      <c r="A471" s="3">
        <v>2016</v>
      </c>
      <c r="B471" s="4">
        <v>42644</v>
      </c>
      <c r="C471" s="3">
        <v>2000</v>
      </c>
      <c r="D471" s="9" t="s">
        <v>95</v>
      </c>
      <c r="E471" s="6">
        <v>4704498.9400000004</v>
      </c>
      <c r="F471" s="6">
        <f>3964115.53+4159690.25</f>
        <v>8123805.7799999993</v>
      </c>
      <c r="G471" s="14">
        <v>5579395.0899999999</v>
      </c>
      <c r="H471" s="3">
        <v>2100</v>
      </c>
      <c r="I471" s="9" t="s">
        <v>95</v>
      </c>
      <c r="J471" s="6">
        <v>4704498.9400000004</v>
      </c>
      <c r="K471" s="6">
        <f>3964115.53+4159690.25</f>
        <v>8123805.7799999993</v>
      </c>
      <c r="L471" s="14">
        <v>5579395.0899999999</v>
      </c>
      <c r="M471" s="23">
        <v>464</v>
      </c>
      <c r="N471" s="7" t="s">
        <v>237</v>
      </c>
      <c r="O471" s="20" t="s">
        <v>245</v>
      </c>
      <c r="P471" s="20" t="s">
        <v>245</v>
      </c>
      <c r="Q471" s="20" t="s">
        <v>245</v>
      </c>
      <c r="R471" s="21">
        <v>42745</v>
      </c>
      <c r="S471" s="22" t="s">
        <v>246</v>
      </c>
      <c r="T471" s="22">
        <v>2016</v>
      </c>
      <c r="U471" s="21">
        <v>42735</v>
      </c>
      <c r="V471" s="22"/>
    </row>
    <row r="472" spans="1:22" ht="19.5" customHeight="1" x14ac:dyDescent="0.3">
      <c r="A472" s="3">
        <v>2016</v>
      </c>
      <c r="B472" s="4">
        <v>42644</v>
      </c>
      <c r="C472" s="3">
        <v>2000</v>
      </c>
      <c r="D472" s="9" t="s">
        <v>96</v>
      </c>
      <c r="E472" s="6">
        <v>1379230</v>
      </c>
      <c r="F472" s="6">
        <f>1028162.66+454983.76</f>
        <v>1483146.42</v>
      </c>
      <c r="G472" s="14">
        <v>1274727.78</v>
      </c>
      <c r="H472" s="3">
        <v>2100</v>
      </c>
      <c r="I472" s="9" t="s">
        <v>96</v>
      </c>
      <c r="J472" s="6">
        <v>1379230</v>
      </c>
      <c r="K472" s="6">
        <f>1028162.66+454983.76</f>
        <v>1483146.42</v>
      </c>
      <c r="L472" s="14">
        <v>1274727.78</v>
      </c>
      <c r="M472" s="19">
        <v>465</v>
      </c>
      <c r="N472" s="7" t="s">
        <v>237</v>
      </c>
      <c r="O472" s="20" t="s">
        <v>245</v>
      </c>
      <c r="P472" s="20" t="s">
        <v>245</v>
      </c>
      <c r="Q472" s="20" t="s">
        <v>245</v>
      </c>
      <c r="R472" s="21">
        <v>42745</v>
      </c>
      <c r="S472" s="22" t="s">
        <v>246</v>
      </c>
      <c r="T472" s="22">
        <v>2016</v>
      </c>
      <c r="U472" s="21">
        <v>42735</v>
      </c>
      <c r="V472" s="22"/>
    </row>
    <row r="473" spans="1:22" ht="19.5" customHeight="1" x14ac:dyDescent="0.3">
      <c r="A473" s="3">
        <v>2016</v>
      </c>
      <c r="B473" s="4">
        <v>42644</v>
      </c>
      <c r="C473" s="3">
        <v>2000</v>
      </c>
      <c r="D473" s="9" t="s">
        <v>97</v>
      </c>
      <c r="E473" s="6">
        <v>1803200</v>
      </c>
      <c r="F473" s="6">
        <f>1710996.88+144560.85</f>
        <v>1855557.73</v>
      </c>
      <c r="G473" s="14">
        <v>2407129.25</v>
      </c>
      <c r="H473" s="3">
        <v>2100</v>
      </c>
      <c r="I473" s="9" t="s">
        <v>97</v>
      </c>
      <c r="J473" s="6">
        <v>1803200</v>
      </c>
      <c r="K473" s="6">
        <f>1710996.88+144560.85</f>
        <v>1855557.73</v>
      </c>
      <c r="L473" s="14">
        <v>2407129.25</v>
      </c>
      <c r="M473" s="23">
        <v>466</v>
      </c>
      <c r="N473" s="7" t="s">
        <v>237</v>
      </c>
      <c r="O473" s="20" t="s">
        <v>245</v>
      </c>
      <c r="P473" s="20" t="s">
        <v>245</v>
      </c>
      <c r="Q473" s="20" t="s">
        <v>245</v>
      </c>
      <c r="R473" s="21">
        <v>42745</v>
      </c>
      <c r="S473" s="22" t="s">
        <v>246</v>
      </c>
      <c r="T473" s="22">
        <v>2016</v>
      </c>
      <c r="U473" s="21">
        <v>42735</v>
      </c>
      <c r="V473" s="22"/>
    </row>
    <row r="474" spans="1:22" ht="19.5" customHeight="1" x14ac:dyDescent="0.3">
      <c r="A474" s="3">
        <v>2016</v>
      </c>
      <c r="B474" s="4">
        <v>42644</v>
      </c>
      <c r="C474" s="3">
        <v>2000</v>
      </c>
      <c r="D474" s="9" t="s">
        <v>98</v>
      </c>
      <c r="E474" s="6">
        <v>268699.95</v>
      </c>
      <c r="F474" s="6">
        <f>48152+43507.2</f>
        <v>91659.199999999997</v>
      </c>
      <c r="G474" s="14">
        <v>66678.02</v>
      </c>
      <c r="H474" s="3">
        <v>2100</v>
      </c>
      <c r="I474" s="9" t="s">
        <v>98</v>
      </c>
      <c r="J474" s="6">
        <v>268699.95</v>
      </c>
      <c r="K474" s="6">
        <f>48152+43507.2</f>
        <v>91659.199999999997</v>
      </c>
      <c r="L474" s="14">
        <v>66678.02</v>
      </c>
      <c r="M474" s="19">
        <v>467</v>
      </c>
      <c r="N474" s="7" t="s">
        <v>237</v>
      </c>
      <c r="O474" s="20" t="s">
        <v>245</v>
      </c>
      <c r="P474" s="20" t="s">
        <v>245</v>
      </c>
      <c r="Q474" s="20" t="s">
        <v>245</v>
      </c>
      <c r="R474" s="21">
        <v>42745</v>
      </c>
      <c r="S474" s="22" t="s">
        <v>246</v>
      </c>
      <c r="T474" s="22">
        <v>2016</v>
      </c>
      <c r="U474" s="21">
        <v>42735</v>
      </c>
      <c r="V474" s="22"/>
    </row>
    <row r="475" spans="1:22" ht="19.5" customHeight="1" x14ac:dyDescent="0.3">
      <c r="A475" s="3">
        <v>2016</v>
      </c>
      <c r="B475" s="4">
        <v>42644</v>
      </c>
      <c r="C475" s="3">
        <v>2000</v>
      </c>
      <c r="D475" s="7" t="s">
        <v>99</v>
      </c>
      <c r="E475" s="6">
        <v>116000</v>
      </c>
      <c r="F475" s="6">
        <v>30000</v>
      </c>
      <c r="G475" s="14">
        <v>29092.799999999999</v>
      </c>
      <c r="H475" s="3">
        <v>2100</v>
      </c>
      <c r="I475" s="7" t="s">
        <v>99</v>
      </c>
      <c r="J475" s="6">
        <v>116000</v>
      </c>
      <c r="K475" s="6">
        <v>30000</v>
      </c>
      <c r="L475" s="14">
        <v>29092.799999999999</v>
      </c>
      <c r="M475" s="23">
        <v>468</v>
      </c>
      <c r="N475" s="7" t="s">
        <v>237</v>
      </c>
      <c r="O475" s="20" t="s">
        <v>245</v>
      </c>
      <c r="P475" s="20" t="s">
        <v>245</v>
      </c>
      <c r="Q475" s="20" t="s">
        <v>245</v>
      </c>
      <c r="R475" s="21">
        <v>42745</v>
      </c>
      <c r="S475" s="22" t="s">
        <v>246</v>
      </c>
      <c r="T475" s="22">
        <v>2016</v>
      </c>
      <c r="U475" s="21">
        <v>42735</v>
      </c>
      <c r="V475" s="22"/>
    </row>
    <row r="476" spans="1:22" ht="19.5" customHeight="1" x14ac:dyDescent="0.3">
      <c r="A476" s="3">
        <v>2016</v>
      </c>
      <c r="B476" s="4">
        <v>42644</v>
      </c>
      <c r="C476" s="3">
        <v>2000</v>
      </c>
      <c r="D476" s="9" t="s">
        <v>100</v>
      </c>
      <c r="E476" s="6">
        <v>13474660.039999999</v>
      </c>
      <c r="F476" s="6">
        <f>14058521.9+3165494.61</f>
        <v>17224016.510000002</v>
      </c>
      <c r="G476" s="14">
        <v>24557762.419999998</v>
      </c>
      <c r="H476" s="3">
        <v>2200</v>
      </c>
      <c r="I476" s="9" t="s">
        <v>100</v>
      </c>
      <c r="J476" s="6">
        <v>13474660.039999999</v>
      </c>
      <c r="K476" s="6">
        <f>14058521.9+3165494.61</f>
        <v>17224016.510000002</v>
      </c>
      <c r="L476" s="14">
        <v>24557762.419999998</v>
      </c>
      <c r="M476" s="19">
        <v>469</v>
      </c>
      <c r="N476" s="7" t="s">
        <v>237</v>
      </c>
      <c r="O476" s="20" t="s">
        <v>245</v>
      </c>
      <c r="P476" s="20" t="s">
        <v>245</v>
      </c>
      <c r="Q476" s="20" t="s">
        <v>245</v>
      </c>
      <c r="R476" s="21">
        <v>42745</v>
      </c>
      <c r="S476" s="22" t="s">
        <v>246</v>
      </c>
      <c r="T476" s="22">
        <v>2016</v>
      </c>
      <c r="U476" s="21">
        <v>42735</v>
      </c>
      <c r="V476" s="22"/>
    </row>
    <row r="477" spans="1:22" ht="19.5" customHeight="1" x14ac:dyDescent="0.3">
      <c r="A477" s="3">
        <v>2016</v>
      </c>
      <c r="B477" s="4">
        <v>42644</v>
      </c>
      <c r="C477" s="3">
        <v>2000</v>
      </c>
      <c r="D477" s="9" t="s">
        <v>101</v>
      </c>
      <c r="E477" s="6">
        <v>17079.2</v>
      </c>
      <c r="F477" s="6">
        <f>165538.73+725978.28</f>
        <v>891517.01</v>
      </c>
      <c r="G477" s="14">
        <v>861220.3899999999</v>
      </c>
      <c r="H477" s="3">
        <v>2200</v>
      </c>
      <c r="I477" s="9" t="s">
        <v>101</v>
      </c>
      <c r="J477" s="6">
        <v>17079.2</v>
      </c>
      <c r="K477" s="6">
        <f>165538.73+725978.28</f>
        <v>891517.01</v>
      </c>
      <c r="L477" s="14">
        <v>861220.3899999999</v>
      </c>
      <c r="M477" s="23">
        <v>470</v>
      </c>
      <c r="N477" s="7" t="s">
        <v>237</v>
      </c>
      <c r="O477" s="20" t="s">
        <v>245</v>
      </c>
      <c r="P477" s="20" t="s">
        <v>245</v>
      </c>
      <c r="Q477" s="20" t="s">
        <v>245</v>
      </c>
      <c r="R477" s="21">
        <v>42745</v>
      </c>
      <c r="S477" s="22" t="s">
        <v>246</v>
      </c>
      <c r="T477" s="22">
        <v>2016</v>
      </c>
      <c r="U477" s="21">
        <v>42735</v>
      </c>
      <c r="V477" s="22"/>
    </row>
    <row r="478" spans="1:22" ht="19.5" customHeight="1" x14ac:dyDescent="0.3">
      <c r="A478" s="3">
        <v>2016</v>
      </c>
      <c r="B478" s="4">
        <v>42644</v>
      </c>
      <c r="C478" s="3">
        <v>2000</v>
      </c>
      <c r="D478" s="7" t="s">
        <v>102</v>
      </c>
      <c r="E478" s="6">
        <v>1650</v>
      </c>
      <c r="F478" s="6">
        <v>1650</v>
      </c>
      <c r="G478" s="14">
        <v>1566</v>
      </c>
      <c r="H478" s="3">
        <v>2300</v>
      </c>
      <c r="I478" s="7" t="s">
        <v>102</v>
      </c>
      <c r="J478" s="6">
        <v>1650</v>
      </c>
      <c r="K478" s="6">
        <v>1650</v>
      </c>
      <c r="L478" s="14">
        <v>1566</v>
      </c>
      <c r="M478" s="19">
        <v>471</v>
      </c>
      <c r="N478" s="7" t="s">
        <v>237</v>
      </c>
      <c r="O478" s="20" t="s">
        <v>245</v>
      </c>
      <c r="P478" s="20" t="s">
        <v>245</v>
      </c>
      <c r="Q478" s="20" t="s">
        <v>245</v>
      </c>
      <c r="R478" s="21">
        <v>42745</v>
      </c>
      <c r="S478" s="22" t="s">
        <v>246</v>
      </c>
      <c r="T478" s="22">
        <v>2016</v>
      </c>
      <c r="U478" s="21">
        <v>42735</v>
      </c>
      <c r="V478" s="22"/>
    </row>
    <row r="479" spans="1:22" ht="19.5" customHeight="1" x14ac:dyDescent="0.3">
      <c r="A479" s="3">
        <v>2016</v>
      </c>
      <c r="B479" s="4">
        <v>42644</v>
      </c>
      <c r="C479" s="3">
        <v>2000</v>
      </c>
      <c r="D479" s="7" t="s">
        <v>103</v>
      </c>
      <c r="E479" s="6">
        <v>0</v>
      </c>
      <c r="F479" s="6">
        <v>132437</v>
      </c>
      <c r="G479" s="14">
        <v>163109.33000000002</v>
      </c>
      <c r="H479" s="3">
        <v>2300</v>
      </c>
      <c r="I479" s="7" t="s">
        <v>103</v>
      </c>
      <c r="J479" s="6">
        <v>0</v>
      </c>
      <c r="K479" s="6">
        <v>132437</v>
      </c>
      <c r="L479" s="14">
        <v>163109.33000000002</v>
      </c>
      <c r="M479" s="23">
        <v>472</v>
      </c>
      <c r="N479" s="7" t="s">
        <v>237</v>
      </c>
      <c r="O479" s="20" t="s">
        <v>245</v>
      </c>
      <c r="P479" s="20" t="s">
        <v>245</v>
      </c>
      <c r="Q479" s="20" t="s">
        <v>245</v>
      </c>
      <c r="R479" s="21">
        <v>42745</v>
      </c>
      <c r="S479" s="22" t="s">
        <v>246</v>
      </c>
      <c r="T479" s="22">
        <v>2016</v>
      </c>
      <c r="U479" s="21">
        <v>42735</v>
      </c>
      <c r="V479" s="22"/>
    </row>
    <row r="480" spans="1:22" ht="19.5" customHeight="1" x14ac:dyDescent="0.3">
      <c r="A480" s="3">
        <v>2016</v>
      </c>
      <c r="B480" s="4">
        <v>42644</v>
      </c>
      <c r="C480" s="3">
        <v>2000</v>
      </c>
      <c r="D480" s="7" t="s">
        <v>104</v>
      </c>
      <c r="E480" s="6">
        <v>470800</v>
      </c>
      <c r="F480" s="6">
        <v>406000</v>
      </c>
      <c r="G480" s="14">
        <v>450201.7</v>
      </c>
      <c r="H480" s="3">
        <v>2300</v>
      </c>
      <c r="I480" s="7" t="s">
        <v>104</v>
      </c>
      <c r="J480" s="6">
        <v>470800</v>
      </c>
      <c r="K480" s="6">
        <v>406000</v>
      </c>
      <c r="L480" s="14">
        <v>450201.7</v>
      </c>
      <c r="M480" s="19">
        <v>473</v>
      </c>
      <c r="N480" s="7" t="s">
        <v>237</v>
      </c>
      <c r="O480" s="20" t="s">
        <v>245</v>
      </c>
      <c r="P480" s="20" t="s">
        <v>245</v>
      </c>
      <c r="Q480" s="20" t="s">
        <v>245</v>
      </c>
      <c r="R480" s="21">
        <v>42745</v>
      </c>
      <c r="S480" s="22" t="s">
        <v>246</v>
      </c>
      <c r="T480" s="22">
        <v>2016</v>
      </c>
      <c r="U480" s="21">
        <v>42735</v>
      </c>
      <c r="V480" s="22"/>
    </row>
    <row r="481" spans="1:22" ht="19.5" customHeight="1" x14ac:dyDescent="0.3">
      <c r="A481" s="3">
        <v>2016</v>
      </c>
      <c r="B481" s="4">
        <v>42644</v>
      </c>
      <c r="C481" s="3">
        <v>2000</v>
      </c>
      <c r="D481" s="7" t="s">
        <v>216</v>
      </c>
      <c r="E481" s="6">
        <v>0</v>
      </c>
      <c r="F481" s="6">
        <v>2559.2199999999998</v>
      </c>
      <c r="G481" s="14">
        <v>2388.56</v>
      </c>
      <c r="H481" s="3">
        <v>2300</v>
      </c>
      <c r="I481" s="7" t="s">
        <v>216</v>
      </c>
      <c r="J481" s="6">
        <v>0</v>
      </c>
      <c r="K481" s="6">
        <v>2559.2199999999998</v>
      </c>
      <c r="L481" s="14">
        <v>2388.56</v>
      </c>
      <c r="M481" s="23">
        <v>474</v>
      </c>
      <c r="N481" s="7" t="s">
        <v>237</v>
      </c>
      <c r="O481" s="20" t="s">
        <v>245</v>
      </c>
      <c r="P481" s="20" t="s">
        <v>245</v>
      </c>
      <c r="Q481" s="20" t="s">
        <v>245</v>
      </c>
      <c r="R481" s="21">
        <v>42745</v>
      </c>
      <c r="S481" s="22" t="s">
        <v>246</v>
      </c>
      <c r="T481" s="22">
        <v>2016</v>
      </c>
      <c r="U481" s="21">
        <v>42735</v>
      </c>
      <c r="V481" s="22"/>
    </row>
    <row r="482" spans="1:22" ht="19.5" customHeight="1" x14ac:dyDescent="0.3">
      <c r="A482" s="3">
        <v>2016</v>
      </c>
      <c r="B482" s="4">
        <v>42644</v>
      </c>
      <c r="C482" s="3">
        <v>2000</v>
      </c>
      <c r="D482" s="7" t="s">
        <v>105</v>
      </c>
      <c r="E482" s="6">
        <v>102000</v>
      </c>
      <c r="F482" s="6">
        <v>2508</v>
      </c>
      <c r="G482" s="14">
        <v>0</v>
      </c>
      <c r="H482" s="3">
        <v>2300</v>
      </c>
      <c r="I482" s="7" t="s">
        <v>105</v>
      </c>
      <c r="J482" s="6">
        <v>102000</v>
      </c>
      <c r="K482" s="6">
        <v>2508</v>
      </c>
      <c r="L482" s="14">
        <v>0</v>
      </c>
      <c r="M482" s="19">
        <v>475</v>
      </c>
      <c r="N482" s="7" t="s">
        <v>237</v>
      </c>
      <c r="O482" s="20" t="s">
        <v>245</v>
      </c>
      <c r="P482" s="20" t="s">
        <v>245</v>
      </c>
      <c r="Q482" s="20" t="s">
        <v>245</v>
      </c>
      <c r="R482" s="21">
        <v>42745</v>
      </c>
      <c r="S482" s="22" t="s">
        <v>246</v>
      </c>
      <c r="T482" s="22">
        <v>2016</v>
      </c>
      <c r="U482" s="21">
        <v>42735</v>
      </c>
      <c r="V482" s="22"/>
    </row>
    <row r="483" spans="1:22" ht="19.5" customHeight="1" x14ac:dyDescent="0.3">
      <c r="A483" s="3">
        <v>2016</v>
      </c>
      <c r="B483" s="4">
        <v>42644</v>
      </c>
      <c r="C483" s="3">
        <v>2000</v>
      </c>
      <c r="D483" s="7" t="s">
        <v>106</v>
      </c>
      <c r="E483" s="6">
        <v>0</v>
      </c>
      <c r="F483" s="6">
        <f>3487.51+41470</f>
        <v>44957.51</v>
      </c>
      <c r="G483" s="14">
        <v>41470</v>
      </c>
      <c r="H483" s="3">
        <v>2400</v>
      </c>
      <c r="I483" s="7" t="s">
        <v>106</v>
      </c>
      <c r="J483" s="6">
        <v>0</v>
      </c>
      <c r="K483" s="6">
        <f>3487.51+41470</f>
        <v>44957.51</v>
      </c>
      <c r="L483" s="14">
        <v>41470</v>
      </c>
      <c r="M483" s="23">
        <v>476</v>
      </c>
      <c r="N483" s="7" t="s">
        <v>237</v>
      </c>
      <c r="O483" s="20" t="s">
        <v>245</v>
      </c>
      <c r="P483" s="20" t="s">
        <v>245</v>
      </c>
      <c r="Q483" s="20" t="s">
        <v>245</v>
      </c>
      <c r="R483" s="21">
        <v>42745</v>
      </c>
      <c r="S483" s="22" t="s">
        <v>246</v>
      </c>
      <c r="T483" s="22">
        <v>2016</v>
      </c>
      <c r="U483" s="21">
        <v>42735</v>
      </c>
      <c r="V483" s="22"/>
    </row>
    <row r="484" spans="1:22" ht="19.5" customHeight="1" x14ac:dyDescent="0.3">
      <c r="A484" s="3">
        <v>2016</v>
      </c>
      <c r="B484" s="4">
        <v>42644</v>
      </c>
      <c r="C484" s="3">
        <v>2000</v>
      </c>
      <c r="D484" s="7" t="s">
        <v>107</v>
      </c>
      <c r="E484" s="6">
        <v>32500</v>
      </c>
      <c r="F484" s="6">
        <f>21833.64+50403.22</f>
        <v>72236.86</v>
      </c>
      <c r="G484" s="14">
        <v>50433.91</v>
      </c>
      <c r="H484" s="3">
        <v>2400</v>
      </c>
      <c r="I484" s="7" t="s">
        <v>107</v>
      </c>
      <c r="J484" s="6">
        <v>32500</v>
      </c>
      <c r="K484" s="6">
        <f>21833.64+50403.22</f>
        <v>72236.86</v>
      </c>
      <c r="L484" s="14">
        <v>50433.91</v>
      </c>
      <c r="M484" s="19">
        <v>477</v>
      </c>
      <c r="N484" s="7" t="s">
        <v>237</v>
      </c>
      <c r="O484" s="20" t="s">
        <v>245</v>
      </c>
      <c r="P484" s="20" t="s">
        <v>245</v>
      </c>
      <c r="Q484" s="20" t="s">
        <v>245</v>
      </c>
      <c r="R484" s="21">
        <v>42745</v>
      </c>
      <c r="S484" s="22" t="s">
        <v>246</v>
      </c>
      <c r="T484" s="22">
        <v>2016</v>
      </c>
      <c r="U484" s="21">
        <v>42735</v>
      </c>
      <c r="V484" s="22"/>
    </row>
    <row r="485" spans="1:22" ht="19.5" customHeight="1" x14ac:dyDescent="0.3">
      <c r="A485" s="3">
        <v>2016</v>
      </c>
      <c r="B485" s="4">
        <v>42644</v>
      </c>
      <c r="C485" s="3">
        <v>2000</v>
      </c>
      <c r="D485" s="7" t="s">
        <v>108</v>
      </c>
      <c r="E485" s="6">
        <v>1000</v>
      </c>
      <c r="F485" s="6">
        <f>18470</f>
        <v>18470</v>
      </c>
      <c r="G485" s="14">
        <v>17681.080000000002</v>
      </c>
      <c r="H485" s="3">
        <v>2400</v>
      </c>
      <c r="I485" s="7" t="s">
        <v>108</v>
      </c>
      <c r="J485" s="6">
        <v>1000</v>
      </c>
      <c r="K485" s="6">
        <f>18470</f>
        <v>18470</v>
      </c>
      <c r="L485" s="14">
        <v>17681.080000000002</v>
      </c>
      <c r="M485" s="23">
        <v>478</v>
      </c>
      <c r="N485" s="7" t="s">
        <v>237</v>
      </c>
      <c r="O485" s="20" t="s">
        <v>245</v>
      </c>
      <c r="P485" s="20" t="s">
        <v>245</v>
      </c>
      <c r="Q485" s="20" t="s">
        <v>245</v>
      </c>
      <c r="R485" s="21">
        <v>42745</v>
      </c>
      <c r="S485" s="22" t="s">
        <v>246</v>
      </c>
      <c r="T485" s="22">
        <v>2016</v>
      </c>
      <c r="U485" s="21">
        <v>42735</v>
      </c>
      <c r="V485" s="22"/>
    </row>
    <row r="486" spans="1:22" ht="19.5" customHeight="1" x14ac:dyDescent="0.3">
      <c r="A486" s="3">
        <v>2016</v>
      </c>
      <c r="B486" s="4">
        <v>42644</v>
      </c>
      <c r="C486" s="3">
        <v>2000</v>
      </c>
      <c r="D486" s="7" t="s">
        <v>109</v>
      </c>
      <c r="E486" s="6">
        <v>21000</v>
      </c>
      <c r="F486" s="6">
        <f>6475.54+28190.32</f>
        <v>34665.86</v>
      </c>
      <c r="G486" s="14">
        <v>29665.86</v>
      </c>
      <c r="H486" s="3">
        <v>2400</v>
      </c>
      <c r="I486" s="7" t="s">
        <v>109</v>
      </c>
      <c r="J486" s="6">
        <v>21000</v>
      </c>
      <c r="K486" s="6">
        <f>6475.54+28190.32</f>
        <v>34665.86</v>
      </c>
      <c r="L486" s="14">
        <v>29665.86</v>
      </c>
      <c r="M486" s="19">
        <v>479</v>
      </c>
      <c r="N486" s="7" t="s">
        <v>237</v>
      </c>
      <c r="O486" s="20" t="s">
        <v>245</v>
      </c>
      <c r="P486" s="20" t="s">
        <v>245</v>
      </c>
      <c r="Q486" s="20" t="s">
        <v>245</v>
      </c>
      <c r="R486" s="21">
        <v>42745</v>
      </c>
      <c r="S486" s="22" t="s">
        <v>246</v>
      </c>
      <c r="T486" s="22">
        <v>2016</v>
      </c>
      <c r="U486" s="21">
        <v>42735</v>
      </c>
      <c r="V486" s="22"/>
    </row>
    <row r="487" spans="1:22" ht="19.5" customHeight="1" x14ac:dyDescent="0.3">
      <c r="A487" s="3">
        <v>2016</v>
      </c>
      <c r="B487" s="4">
        <v>42644</v>
      </c>
      <c r="C487" s="3">
        <v>2000</v>
      </c>
      <c r="D487" s="7" t="s">
        <v>110</v>
      </c>
      <c r="E487" s="6">
        <v>10000</v>
      </c>
      <c r="F487" s="6">
        <v>2000</v>
      </c>
      <c r="G487" s="14">
        <v>2000</v>
      </c>
      <c r="H487" s="3">
        <v>2400</v>
      </c>
      <c r="I487" s="7" t="s">
        <v>110</v>
      </c>
      <c r="J487" s="6">
        <v>10000</v>
      </c>
      <c r="K487" s="6">
        <v>2000</v>
      </c>
      <c r="L487" s="14">
        <v>2000</v>
      </c>
      <c r="M487" s="23">
        <v>480</v>
      </c>
      <c r="N487" s="7" t="s">
        <v>237</v>
      </c>
      <c r="O487" s="20" t="s">
        <v>245</v>
      </c>
      <c r="P487" s="20" t="s">
        <v>245</v>
      </c>
      <c r="Q487" s="20" t="s">
        <v>245</v>
      </c>
      <c r="R487" s="21">
        <v>42745</v>
      </c>
      <c r="S487" s="22" t="s">
        <v>246</v>
      </c>
      <c r="T487" s="22">
        <v>2016</v>
      </c>
      <c r="U487" s="21">
        <v>42735</v>
      </c>
      <c r="V487" s="22"/>
    </row>
    <row r="488" spans="1:22" ht="19.5" customHeight="1" x14ac:dyDescent="0.3">
      <c r="A488" s="3">
        <v>2016</v>
      </c>
      <c r="B488" s="4">
        <v>42644</v>
      </c>
      <c r="C488" s="3">
        <v>2000</v>
      </c>
      <c r="D488" s="7" t="s">
        <v>111</v>
      </c>
      <c r="E488" s="6">
        <v>44562</v>
      </c>
      <c r="F488" s="6">
        <f>326763.93+2420816.61</f>
        <v>2747580.54</v>
      </c>
      <c r="G488" s="14">
        <v>1333592.3500000001</v>
      </c>
      <c r="H488" s="3">
        <v>2400</v>
      </c>
      <c r="I488" s="7" t="s">
        <v>111</v>
      </c>
      <c r="J488" s="6">
        <v>44562</v>
      </c>
      <c r="K488" s="6">
        <f>326763.93+2420816.61</f>
        <v>2747580.54</v>
      </c>
      <c r="L488" s="14">
        <v>1333592.3500000001</v>
      </c>
      <c r="M488" s="19">
        <v>481</v>
      </c>
      <c r="N488" s="7" t="s">
        <v>237</v>
      </c>
      <c r="O488" s="20" t="s">
        <v>245</v>
      </c>
      <c r="P488" s="20" t="s">
        <v>245</v>
      </c>
      <c r="Q488" s="20" t="s">
        <v>245</v>
      </c>
      <c r="R488" s="21">
        <v>42745</v>
      </c>
      <c r="S488" s="22" t="s">
        <v>246</v>
      </c>
      <c r="T488" s="22">
        <v>2016</v>
      </c>
      <c r="U488" s="21">
        <v>42735</v>
      </c>
      <c r="V488" s="22"/>
    </row>
    <row r="489" spans="1:22" ht="19.5" customHeight="1" x14ac:dyDescent="0.3">
      <c r="A489" s="3">
        <v>2016</v>
      </c>
      <c r="B489" s="4">
        <v>42644</v>
      </c>
      <c r="C489" s="3">
        <v>2000</v>
      </c>
      <c r="D489" s="7" t="s">
        <v>112</v>
      </c>
      <c r="E489" s="6">
        <v>27105</v>
      </c>
      <c r="F489" s="6">
        <f>67255.03+338250.18</f>
        <v>405505.20999999996</v>
      </c>
      <c r="G489" s="14">
        <v>354950.26999999996</v>
      </c>
      <c r="H489" s="3">
        <v>2400</v>
      </c>
      <c r="I489" s="7" t="s">
        <v>112</v>
      </c>
      <c r="J489" s="6">
        <v>27105</v>
      </c>
      <c r="K489" s="6">
        <f>67255.03+338250.18</f>
        <v>405505.20999999996</v>
      </c>
      <c r="L489" s="14">
        <v>354950.26999999996</v>
      </c>
      <c r="M489" s="23">
        <v>482</v>
      </c>
      <c r="N489" s="7" t="s">
        <v>237</v>
      </c>
      <c r="O489" s="20" t="s">
        <v>245</v>
      </c>
      <c r="P489" s="20" t="s">
        <v>245</v>
      </c>
      <c r="Q489" s="20" t="s">
        <v>245</v>
      </c>
      <c r="R489" s="21">
        <v>42745</v>
      </c>
      <c r="S489" s="22" t="s">
        <v>246</v>
      </c>
      <c r="T489" s="22">
        <v>2016</v>
      </c>
      <c r="U489" s="21">
        <v>42735</v>
      </c>
      <c r="V489" s="22"/>
    </row>
    <row r="490" spans="1:22" ht="19.5" customHeight="1" x14ac:dyDescent="0.3">
      <c r="A490" s="3">
        <v>2016</v>
      </c>
      <c r="B490" s="4">
        <v>42644</v>
      </c>
      <c r="C490" s="3">
        <v>2000</v>
      </c>
      <c r="D490" s="7" t="s">
        <v>113</v>
      </c>
      <c r="E490" s="6">
        <v>437000</v>
      </c>
      <c r="F490" s="6">
        <f>71177.67+113030.8</f>
        <v>184208.47</v>
      </c>
      <c r="G490" s="14">
        <v>162127.16</v>
      </c>
      <c r="H490" s="3">
        <v>2400</v>
      </c>
      <c r="I490" s="7" t="s">
        <v>113</v>
      </c>
      <c r="J490" s="6">
        <v>437000</v>
      </c>
      <c r="K490" s="6">
        <f>71177.67+113030.8</f>
        <v>184208.47</v>
      </c>
      <c r="L490" s="14">
        <v>162127.16</v>
      </c>
      <c r="M490" s="19">
        <v>483</v>
      </c>
      <c r="N490" s="7" t="s">
        <v>237</v>
      </c>
      <c r="O490" s="20" t="s">
        <v>245</v>
      </c>
      <c r="P490" s="20" t="s">
        <v>245</v>
      </c>
      <c r="Q490" s="20" t="s">
        <v>245</v>
      </c>
      <c r="R490" s="21">
        <v>42745</v>
      </c>
      <c r="S490" s="22" t="s">
        <v>246</v>
      </c>
      <c r="T490" s="22">
        <v>2016</v>
      </c>
      <c r="U490" s="21">
        <v>42735</v>
      </c>
      <c r="V490" s="22"/>
    </row>
    <row r="491" spans="1:22" ht="19.5" customHeight="1" x14ac:dyDescent="0.3">
      <c r="A491" s="3">
        <v>2016</v>
      </c>
      <c r="B491" s="4">
        <v>42644</v>
      </c>
      <c r="C491" s="3">
        <v>2000</v>
      </c>
      <c r="D491" s="7" t="s">
        <v>114</v>
      </c>
      <c r="E491" s="6">
        <v>4928.8</v>
      </c>
      <c r="F491" s="6">
        <f>52008.37+172204.14</f>
        <v>224212.51</v>
      </c>
      <c r="G491" s="14">
        <v>218440.31</v>
      </c>
      <c r="H491" s="3">
        <v>2400</v>
      </c>
      <c r="I491" s="7" t="s">
        <v>114</v>
      </c>
      <c r="J491" s="6">
        <v>4928.8</v>
      </c>
      <c r="K491" s="6">
        <f>52008.37+172204.14</f>
        <v>224212.51</v>
      </c>
      <c r="L491" s="14">
        <v>218440.31</v>
      </c>
      <c r="M491" s="23">
        <v>484</v>
      </c>
      <c r="N491" s="7" t="s">
        <v>237</v>
      </c>
      <c r="O491" s="20" t="s">
        <v>245</v>
      </c>
      <c r="P491" s="20" t="s">
        <v>245</v>
      </c>
      <c r="Q491" s="20" t="s">
        <v>245</v>
      </c>
      <c r="R491" s="21">
        <v>42745</v>
      </c>
      <c r="S491" s="22" t="s">
        <v>246</v>
      </c>
      <c r="T491" s="22">
        <v>2016</v>
      </c>
      <c r="U491" s="21">
        <v>42735</v>
      </c>
      <c r="V491" s="22"/>
    </row>
    <row r="492" spans="1:22" ht="19.5" customHeight="1" x14ac:dyDescent="0.3">
      <c r="A492" s="3">
        <v>2016</v>
      </c>
      <c r="B492" s="4">
        <v>42644</v>
      </c>
      <c r="C492" s="3">
        <v>2000</v>
      </c>
      <c r="D492" s="9" t="s">
        <v>115</v>
      </c>
      <c r="E492" s="6">
        <v>114335.08</v>
      </c>
      <c r="F492" s="6">
        <f>589025.37+1218516.61</f>
        <v>1807541.98</v>
      </c>
      <c r="G492" s="14">
        <v>1207915.42</v>
      </c>
      <c r="H492" s="3">
        <v>2500</v>
      </c>
      <c r="I492" s="9" t="s">
        <v>115</v>
      </c>
      <c r="J492" s="6">
        <v>114335.08</v>
      </c>
      <c r="K492" s="6">
        <f>589025.37+1218516.61</f>
        <v>1807541.98</v>
      </c>
      <c r="L492" s="14">
        <v>1207915.42</v>
      </c>
      <c r="M492" s="19">
        <v>485</v>
      </c>
      <c r="N492" s="7" t="s">
        <v>237</v>
      </c>
      <c r="O492" s="20" t="s">
        <v>245</v>
      </c>
      <c r="P492" s="20" t="s">
        <v>245</v>
      </c>
      <c r="Q492" s="20" t="s">
        <v>245</v>
      </c>
      <c r="R492" s="21">
        <v>42745</v>
      </c>
      <c r="S492" s="22" t="s">
        <v>246</v>
      </c>
      <c r="T492" s="22">
        <v>2016</v>
      </c>
      <c r="U492" s="21">
        <v>42735</v>
      </c>
      <c r="V492" s="22"/>
    </row>
    <row r="493" spans="1:22" ht="19.5" customHeight="1" x14ac:dyDescent="0.3">
      <c r="A493" s="3">
        <v>2016</v>
      </c>
      <c r="B493" s="4">
        <v>42644</v>
      </c>
      <c r="C493" s="3">
        <v>2000</v>
      </c>
      <c r="D493" s="9" t="s">
        <v>228</v>
      </c>
      <c r="E493" s="6">
        <v>0</v>
      </c>
      <c r="F493" s="6">
        <v>145</v>
      </c>
      <c r="G493" s="14">
        <v>145</v>
      </c>
      <c r="H493" s="3">
        <v>2500</v>
      </c>
      <c r="I493" s="9" t="s">
        <v>228</v>
      </c>
      <c r="J493" s="6">
        <v>0</v>
      </c>
      <c r="K493" s="6">
        <v>145</v>
      </c>
      <c r="L493" s="14">
        <v>145</v>
      </c>
      <c r="M493" s="23">
        <v>486</v>
      </c>
      <c r="N493" s="7" t="s">
        <v>237</v>
      </c>
      <c r="O493" s="20" t="s">
        <v>245</v>
      </c>
      <c r="P493" s="20" t="s">
        <v>245</v>
      </c>
      <c r="Q493" s="20" t="s">
        <v>245</v>
      </c>
      <c r="R493" s="21">
        <v>42745</v>
      </c>
      <c r="S493" s="22" t="s">
        <v>246</v>
      </c>
      <c r="T493" s="22">
        <v>2016</v>
      </c>
      <c r="U493" s="21">
        <v>42735</v>
      </c>
      <c r="V493" s="22"/>
    </row>
    <row r="494" spans="1:22" ht="19.5" customHeight="1" x14ac:dyDescent="0.3">
      <c r="A494" s="3">
        <v>2016</v>
      </c>
      <c r="B494" s="4">
        <v>42644</v>
      </c>
      <c r="C494" s="3">
        <v>2000</v>
      </c>
      <c r="D494" s="9" t="s">
        <v>116</v>
      </c>
      <c r="E494" s="6">
        <v>50000</v>
      </c>
      <c r="F494" s="6">
        <v>154984.46</v>
      </c>
      <c r="G494" s="14">
        <v>131170.58000000002</v>
      </c>
      <c r="H494" s="3">
        <v>2500</v>
      </c>
      <c r="I494" s="9" t="s">
        <v>116</v>
      </c>
      <c r="J494" s="6">
        <v>50000</v>
      </c>
      <c r="K494" s="6">
        <v>154984.46</v>
      </c>
      <c r="L494" s="14">
        <v>131170.58000000002</v>
      </c>
      <c r="M494" s="19">
        <v>487</v>
      </c>
      <c r="N494" s="7" t="s">
        <v>237</v>
      </c>
      <c r="O494" s="20" t="s">
        <v>245</v>
      </c>
      <c r="P494" s="20" t="s">
        <v>245</v>
      </c>
      <c r="Q494" s="20" t="s">
        <v>245</v>
      </c>
      <c r="R494" s="21">
        <v>42745</v>
      </c>
      <c r="S494" s="22" t="s">
        <v>246</v>
      </c>
      <c r="T494" s="22">
        <v>2016</v>
      </c>
      <c r="U494" s="21">
        <v>42735</v>
      </c>
      <c r="V494" s="22"/>
    </row>
    <row r="495" spans="1:22" ht="19.5" customHeight="1" x14ac:dyDescent="0.3">
      <c r="A495" s="3">
        <v>2016</v>
      </c>
      <c r="B495" s="4">
        <v>42644</v>
      </c>
      <c r="C495" s="3">
        <v>2000</v>
      </c>
      <c r="D495" s="9" t="s">
        <v>117</v>
      </c>
      <c r="E495" s="6">
        <v>111209.25</v>
      </c>
      <c r="F495" s="6">
        <f>130988.95+334.08</f>
        <v>131323.03</v>
      </c>
      <c r="G495" s="14">
        <v>102005.62</v>
      </c>
      <c r="H495" s="3">
        <v>2500</v>
      </c>
      <c r="I495" s="9" t="s">
        <v>117</v>
      </c>
      <c r="J495" s="6">
        <v>111209.25</v>
      </c>
      <c r="K495" s="6">
        <f>130988.95+334.08</f>
        <v>131323.03</v>
      </c>
      <c r="L495" s="14">
        <v>102005.62</v>
      </c>
      <c r="M495" s="23">
        <v>488</v>
      </c>
      <c r="N495" s="7" t="s">
        <v>237</v>
      </c>
      <c r="O495" s="20" t="s">
        <v>245</v>
      </c>
      <c r="P495" s="20" t="s">
        <v>245</v>
      </c>
      <c r="Q495" s="20" t="s">
        <v>245</v>
      </c>
      <c r="R495" s="21">
        <v>42745</v>
      </c>
      <c r="S495" s="22" t="s">
        <v>246</v>
      </c>
      <c r="T495" s="22">
        <v>2016</v>
      </c>
      <c r="U495" s="21">
        <v>42735</v>
      </c>
      <c r="V495" s="22"/>
    </row>
    <row r="496" spans="1:22" ht="19.5" customHeight="1" x14ac:dyDescent="0.3">
      <c r="A496" s="3">
        <v>2016</v>
      </c>
      <c r="B496" s="4">
        <v>42644</v>
      </c>
      <c r="C496" s="3">
        <v>2000</v>
      </c>
      <c r="D496" s="9" t="s">
        <v>118</v>
      </c>
      <c r="E496" s="6">
        <v>1910543.49</v>
      </c>
      <c r="F496" s="6">
        <f>1912498.47+1852014.35</f>
        <v>3764512.8200000003</v>
      </c>
      <c r="G496" s="14">
        <v>2345674.8600000003</v>
      </c>
      <c r="H496" s="3">
        <v>2500</v>
      </c>
      <c r="I496" s="9" t="s">
        <v>118</v>
      </c>
      <c r="J496" s="6">
        <v>1910543.49</v>
      </c>
      <c r="K496" s="6">
        <f>1912498.47+1852014.35</f>
        <v>3764512.8200000003</v>
      </c>
      <c r="L496" s="14">
        <v>2345674.8600000003</v>
      </c>
      <c r="M496" s="19">
        <v>489</v>
      </c>
      <c r="N496" s="7" t="s">
        <v>237</v>
      </c>
      <c r="O496" s="20" t="s">
        <v>245</v>
      </c>
      <c r="P496" s="20" t="s">
        <v>245</v>
      </c>
      <c r="Q496" s="20" t="s">
        <v>245</v>
      </c>
      <c r="R496" s="21">
        <v>42745</v>
      </c>
      <c r="S496" s="22" t="s">
        <v>246</v>
      </c>
      <c r="T496" s="22">
        <v>2016</v>
      </c>
      <c r="U496" s="21">
        <v>42735</v>
      </c>
      <c r="V496" s="22"/>
    </row>
    <row r="497" spans="1:22" ht="19.5" customHeight="1" x14ac:dyDescent="0.3">
      <c r="A497" s="3">
        <v>2016</v>
      </c>
      <c r="B497" s="4">
        <v>42644</v>
      </c>
      <c r="C497" s="3">
        <v>2000</v>
      </c>
      <c r="D497" s="9" t="s">
        <v>119</v>
      </c>
      <c r="E497" s="6">
        <v>27600</v>
      </c>
      <c r="F497" s="6">
        <f>26578.54+304229.11</f>
        <v>330807.64999999997</v>
      </c>
      <c r="G497" s="14">
        <v>291563.14</v>
      </c>
      <c r="H497" s="3">
        <v>2500</v>
      </c>
      <c r="I497" s="9" t="s">
        <v>119</v>
      </c>
      <c r="J497" s="6">
        <v>27600</v>
      </c>
      <c r="K497" s="6">
        <f>26578.54+304229.11</f>
        <v>330807.64999999997</v>
      </c>
      <c r="L497" s="14">
        <v>291563.14</v>
      </c>
      <c r="M497" s="23">
        <v>490</v>
      </c>
      <c r="N497" s="7" t="s">
        <v>237</v>
      </c>
      <c r="O497" s="20" t="s">
        <v>245</v>
      </c>
      <c r="P497" s="20" t="s">
        <v>245</v>
      </c>
      <c r="Q497" s="20" t="s">
        <v>245</v>
      </c>
      <c r="R497" s="21">
        <v>42745</v>
      </c>
      <c r="S497" s="22" t="s">
        <v>246</v>
      </c>
      <c r="T497" s="22">
        <v>2016</v>
      </c>
      <c r="U497" s="21">
        <v>42735</v>
      </c>
      <c r="V497" s="22"/>
    </row>
    <row r="498" spans="1:22" ht="19.5" customHeight="1" x14ac:dyDescent="0.3">
      <c r="A498" s="3">
        <v>2016</v>
      </c>
      <c r="B498" s="4">
        <v>42644</v>
      </c>
      <c r="C498" s="3">
        <v>2000</v>
      </c>
      <c r="D498" s="7" t="s">
        <v>120</v>
      </c>
      <c r="E498" s="6">
        <v>2692.94</v>
      </c>
      <c r="F498" s="6">
        <f>5970.14+142172.55</f>
        <v>148142.69</v>
      </c>
      <c r="G498" s="14">
        <v>152304.70000000001</v>
      </c>
      <c r="H498" s="3">
        <v>2500</v>
      </c>
      <c r="I498" s="7" t="s">
        <v>120</v>
      </c>
      <c r="J498" s="6">
        <v>2692.94</v>
      </c>
      <c r="K498" s="6">
        <f>5970.14+142172.55</f>
        <v>148142.69</v>
      </c>
      <c r="L498" s="14">
        <v>152304.70000000001</v>
      </c>
      <c r="M498" s="19">
        <v>491</v>
      </c>
      <c r="N498" s="7" t="s">
        <v>237</v>
      </c>
      <c r="O498" s="20" t="s">
        <v>245</v>
      </c>
      <c r="P498" s="20" t="s">
        <v>245</v>
      </c>
      <c r="Q498" s="20" t="s">
        <v>245</v>
      </c>
      <c r="R498" s="21">
        <v>42745</v>
      </c>
      <c r="S498" s="22" t="s">
        <v>246</v>
      </c>
      <c r="T498" s="22">
        <v>2016</v>
      </c>
      <c r="U498" s="21">
        <v>42735</v>
      </c>
      <c r="V498" s="22"/>
    </row>
    <row r="499" spans="1:22" ht="19.5" customHeight="1" x14ac:dyDescent="0.3">
      <c r="A499" s="3">
        <v>2016</v>
      </c>
      <c r="B499" s="4">
        <v>42644</v>
      </c>
      <c r="C499" s="3">
        <v>2000</v>
      </c>
      <c r="D499" s="10" t="s">
        <v>121</v>
      </c>
      <c r="E499" s="6">
        <v>900000</v>
      </c>
      <c r="F499" s="6">
        <f>906019.12+46744.58</f>
        <v>952763.7</v>
      </c>
      <c r="G499" s="14">
        <v>812400.57000000007</v>
      </c>
      <c r="H499" s="3">
        <v>2600</v>
      </c>
      <c r="I499" s="10" t="s">
        <v>121</v>
      </c>
      <c r="J499" s="6">
        <v>900000</v>
      </c>
      <c r="K499" s="6">
        <f>906019.12+46744.58</f>
        <v>952763.7</v>
      </c>
      <c r="L499" s="14">
        <v>812400.57000000007</v>
      </c>
      <c r="M499" s="23">
        <v>492</v>
      </c>
      <c r="N499" s="7" t="s">
        <v>237</v>
      </c>
      <c r="O499" s="20" t="s">
        <v>245</v>
      </c>
      <c r="P499" s="20" t="s">
        <v>245</v>
      </c>
      <c r="Q499" s="20" t="s">
        <v>245</v>
      </c>
      <c r="R499" s="21">
        <v>42745</v>
      </c>
      <c r="S499" s="22" t="s">
        <v>246</v>
      </c>
      <c r="T499" s="22">
        <v>2016</v>
      </c>
      <c r="U499" s="21">
        <v>42735</v>
      </c>
      <c r="V499" s="22"/>
    </row>
    <row r="500" spans="1:22" ht="19.5" customHeight="1" x14ac:dyDescent="0.3">
      <c r="A500" s="3">
        <v>2016</v>
      </c>
      <c r="B500" s="4">
        <v>42644</v>
      </c>
      <c r="C500" s="3">
        <v>2000</v>
      </c>
      <c r="D500" s="10" t="s">
        <v>122</v>
      </c>
      <c r="E500" s="6">
        <v>1290000.21</v>
      </c>
      <c r="F500" s="6">
        <f>1759836.12+1173630.43</f>
        <v>2933466.55</v>
      </c>
      <c r="G500" s="14">
        <v>1094571.3799999999</v>
      </c>
      <c r="H500" s="3">
        <v>2700</v>
      </c>
      <c r="I500" s="10" t="s">
        <v>122</v>
      </c>
      <c r="J500" s="6">
        <v>1290000.21</v>
      </c>
      <c r="K500" s="6">
        <f>1759836.12+1173630.43</f>
        <v>2933466.55</v>
      </c>
      <c r="L500" s="14">
        <v>1094571.3799999999</v>
      </c>
      <c r="M500" s="19">
        <v>493</v>
      </c>
      <c r="N500" s="7" t="s">
        <v>237</v>
      </c>
      <c r="O500" s="20" t="s">
        <v>245</v>
      </c>
      <c r="P500" s="20" t="s">
        <v>245</v>
      </c>
      <c r="Q500" s="20" t="s">
        <v>245</v>
      </c>
      <c r="R500" s="21">
        <v>42745</v>
      </c>
      <c r="S500" s="22" t="s">
        <v>246</v>
      </c>
      <c r="T500" s="22">
        <v>2016</v>
      </c>
      <c r="U500" s="21">
        <v>42735</v>
      </c>
      <c r="V500" s="22"/>
    </row>
    <row r="501" spans="1:22" ht="19.5" customHeight="1" x14ac:dyDescent="0.3">
      <c r="A501" s="3">
        <v>2016</v>
      </c>
      <c r="B501" s="4">
        <v>42644</v>
      </c>
      <c r="C501" s="3">
        <v>2000</v>
      </c>
      <c r="D501" s="10" t="s">
        <v>123</v>
      </c>
      <c r="E501" s="6">
        <v>2593874.4</v>
      </c>
      <c r="F501" s="6">
        <f>2507981.67+1294549.15</f>
        <v>3802530.82</v>
      </c>
      <c r="G501" s="14">
        <v>1343941.77</v>
      </c>
      <c r="H501" s="3">
        <v>2700</v>
      </c>
      <c r="I501" s="10" t="s">
        <v>123</v>
      </c>
      <c r="J501" s="6">
        <v>2593874.4</v>
      </c>
      <c r="K501" s="6">
        <f>2507981.67+1294549.15</f>
        <v>3802530.82</v>
      </c>
      <c r="L501" s="14">
        <v>1343941.77</v>
      </c>
      <c r="M501" s="23">
        <v>494</v>
      </c>
      <c r="N501" s="7" t="s">
        <v>237</v>
      </c>
      <c r="O501" s="20" t="s">
        <v>245</v>
      </c>
      <c r="P501" s="20" t="s">
        <v>245</v>
      </c>
      <c r="Q501" s="20" t="s">
        <v>245</v>
      </c>
      <c r="R501" s="21">
        <v>42745</v>
      </c>
      <c r="S501" s="22" t="s">
        <v>246</v>
      </c>
      <c r="T501" s="22">
        <v>2016</v>
      </c>
      <c r="U501" s="21">
        <v>42735</v>
      </c>
      <c r="V501" s="22"/>
    </row>
    <row r="502" spans="1:22" ht="19.5" customHeight="1" x14ac:dyDescent="0.3">
      <c r="A502" s="3">
        <v>2016</v>
      </c>
      <c r="B502" s="4">
        <v>42644</v>
      </c>
      <c r="C502" s="3">
        <v>2000</v>
      </c>
      <c r="D502" s="10" t="s">
        <v>124</v>
      </c>
      <c r="E502" s="6">
        <v>530000</v>
      </c>
      <c r="F502" s="6">
        <v>67789.960000000006</v>
      </c>
      <c r="G502" s="14">
        <v>43689.96</v>
      </c>
      <c r="H502" s="3">
        <v>2700</v>
      </c>
      <c r="I502" s="10" t="s">
        <v>124</v>
      </c>
      <c r="J502" s="6">
        <v>530000</v>
      </c>
      <c r="K502" s="6">
        <v>67789.960000000006</v>
      </c>
      <c r="L502" s="14">
        <v>43689.96</v>
      </c>
      <c r="M502" s="19">
        <v>495</v>
      </c>
      <c r="N502" s="7" t="s">
        <v>237</v>
      </c>
      <c r="O502" s="20" t="s">
        <v>245</v>
      </c>
      <c r="P502" s="20" t="s">
        <v>245</v>
      </c>
      <c r="Q502" s="20" t="s">
        <v>245</v>
      </c>
      <c r="R502" s="21">
        <v>42745</v>
      </c>
      <c r="S502" s="22" t="s">
        <v>246</v>
      </c>
      <c r="T502" s="22">
        <v>2016</v>
      </c>
      <c r="U502" s="21">
        <v>42735</v>
      </c>
      <c r="V502" s="22"/>
    </row>
    <row r="503" spans="1:22" ht="19.5" customHeight="1" x14ac:dyDescent="0.3">
      <c r="A503" s="3">
        <v>2016</v>
      </c>
      <c r="B503" s="4">
        <v>42644</v>
      </c>
      <c r="C503" s="3">
        <v>2000</v>
      </c>
      <c r="D503" s="10" t="s">
        <v>125</v>
      </c>
      <c r="E503" s="6">
        <v>5428</v>
      </c>
      <c r="F503" s="6">
        <f>10822.63+429.93</f>
        <v>11252.56</v>
      </c>
      <c r="G503" s="14">
        <v>7823.5599999999995</v>
      </c>
      <c r="H503" s="3">
        <v>2700</v>
      </c>
      <c r="I503" s="10" t="s">
        <v>125</v>
      </c>
      <c r="J503" s="6">
        <v>5428</v>
      </c>
      <c r="K503" s="6">
        <f>10822.63+429.93</f>
        <v>11252.56</v>
      </c>
      <c r="L503" s="14">
        <v>7823.5599999999995</v>
      </c>
      <c r="M503" s="23">
        <v>496</v>
      </c>
      <c r="N503" s="7" t="s">
        <v>237</v>
      </c>
      <c r="O503" s="20" t="s">
        <v>245</v>
      </c>
      <c r="P503" s="20" t="s">
        <v>245</v>
      </c>
      <c r="Q503" s="20" t="s">
        <v>245</v>
      </c>
      <c r="R503" s="21">
        <v>42745</v>
      </c>
      <c r="S503" s="22" t="s">
        <v>246</v>
      </c>
      <c r="T503" s="22">
        <v>2016</v>
      </c>
      <c r="U503" s="21">
        <v>42735</v>
      </c>
      <c r="V503" s="22"/>
    </row>
    <row r="504" spans="1:22" ht="19.5" customHeight="1" x14ac:dyDescent="0.3">
      <c r="A504" s="3">
        <v>2016</v>
      </c>
      <c r="B504" s="4">
        <v>42644</v>
      </c>
      <c r="C504" s="3">
        <v>2000</v>
      </c>
      <c r="D504" s="7" t="s">
        <v>126</v>
      </c>
      <c r="E504" s="6">
        <v>21720</v>
      </c>
      <c r="F504" s="6">
        <v>0</v>
      </c>
      <c r="G504" s="14">
        <v>0</v>
      </c>
      <c r="H504" s="3">
        <v>2700</v>
      </c>
      <c r="I504" s="7" t="s">
        <v>126</v>
      </c>
      <c r="J504" s="6">
        <v>21720</v>
      </c>
      <c r="K504" s="6">
        <v>0</v>
      </c>
      <c r="L504" s="14">
        <v>0</v>
      </c>
      <c r="M504" s="19">
        <v>497</v>
      </c>
      <c r="N504" s="7" t="s">
        <v>237</v>
      </c>
      <c r="O504" s="20" t="s">
        <v>245</v>
      </c>
      <c r="P504" s="20" t="s">
        <v>245</v>
      </c>
      <c r="Q504" s="20" t="s">
        <v>245</v>
      </c>
      <c r="R504" s="21">
        <v>42745</v>
      </c>
      <c r="S504" s="22" t="s">
        <v>246</v>
      </c>
      <c r="T504" s="22">
        <v>2016</v>
      </c>
      <c r="U504" s="21">
        <v>42735</v>
      </c>
      <c r="V504" s="22"/>
    </row>
    <row r="505" spans="1:22" ht="19.5" customHeight="1" x14ac:dyDescent="0.3">
      <c r="A505" s="3">
        <v>2016</v>
      </c>
      <c r="B505" s="4">
        <v>42644</v>
      </c>
      <c r="C505" s="3">
        <v>2000</v>
      </c>
      <c r="D505" s="7" t="s">
        <v>127</v>
      </c>
      <c r="E505" s="6">
        <v>4649.8599999999997</v>
      </c>
      <c r="F505" s="6">
        <v>4649.8599999999997</v>
      </c>
      <c r="G505" s="14">
        <v>4613.32</v>
      </c>
      <c r="H505" s="3">
        <v>2800</v>
      </c>
      <c r="I505" s="7" t="s">
        <v>127</v>
      </c>
      <c r="J505" s="6">
        <v>4649.8599999999997</v>
      </c>
      <c r="K505" s="6">
        <v>4649.8599999999997</v>
      </c>
      <c r="L505" s="14">
        <v>4613.32</v>
      </c>
      <c r="M505" s="23">
        <v>498</v>
      </c>
      <c r="N505" s="7" t="s">
        <v>237</v>
      </c>
      <c r="O505" s="20" t="s">
        <v>245</v>
      </c>
      <c r="P505" s="20" t="s">
        <v>245</v>
      </c>
      <c r="Q505" s="20" t="s">
        <v>245</v>
      </c>
      <c r="R505" s="21">
        <v>42745</v>
      </c>
      <c r="S505" s="22" t="s">
        <v>246</v>
      </c>
      <c r="T505" s="22">
        <v>2016</v>
      </c>
      <c r="U505" s="21">
        <v>42735</v>
      </c>
      <c r="V505" s="22"/>
    </row>
    <row r="506" spans="1:22" ht="19.5" customHeight="1" x14ac:dyDescent="0.3">
      <c r="A506" s="3">
        <v>2016</v>
      </c>
      <c r="B506" s="4">
        <v>42644</v>
      </c>
      <c r="C506" s="3">
        <v>2000</v>
      </c>
      <c r="D506" s="10" t="s">
        <v>128</v>
      </c>
      <c r="E506" s="6">
        <v>288207</v>
      </c>
      <c r="F506" s="6">
        <f>188143.65+776069.17</f>
        <v>964212.82000000007</v>
      </c>
      <c r="G506" s="14">
        <v>631115.44999999995</v>
      </c>
      <c r="H506" s="3">
        <v>2900</v>
      </c>
      <c r="I506" s="10" t="s">
        <v>128</v>
      </c>
      <c r="J506" s="6">
        <v>288207</v>
      </c>
      <c r="K506" s="6">
        <f>188143.65+776069.17</f>
        <v>964212.82000000007</v>
      </c>
      <c r="L506" s="14">
        <v>631115.44999999995</v>
      </c>
      <c r="M506" s="19">
        <v>499</v>
      </c>
      <c r="N506" s="7" t="s">
        <v>237</v>
      </c>
      <c r="O506" s="20" t="s">
        <v>245</v>
      </c>
      <c r="P506" s="20" t="s">
        <v>245</v>
      </c>
      <c r="Q506" s="20" t="s">
        <v>245</v>
      </c>
      <c r="R506" s="21">
        <v>42745</v>
      </c>
      <c r="S506" s="22" t="s">
        <v>246</v>
      </c>
      <c r="T506" s="22">
        <v>2016</v>
      </c>
      <c r="U506" s="21">
        <v>42735</v>
      </c>
      <c r="V506" s="22"/>
    </row>
    <row r="507" spans="1:22" ht="19.5" customHeight="1" x14ac:dyDescent="0.3">
      <c r="A507" s="3">
        <v>2016</v>
      </c>
      <c r="B507" s="4">
        <v>42644</v>
      </c>
      <c r="C507" s="3">
        <v>2000</v>
      </c>
      <c r="D507" s="10" t="s">
        <v>129</v>
      </c>
      <c r="E507" s="6">
        <v>7400</v>
      </c>
      <c r="F507" s="6">
        <f>70014.1+544363.2</f>
        <v>614377.29999999993</v>
      </c>
      <c r="G507" s="14">
        <v>246674.58000000002</v>
      </c>
      <c r="H507" s="3">
        <v>2900</v>
      </c>
      <c r="I507" s="10" t="s">
        <v>129</v>
      </c>
      <c r="J507" s="6">
        <v>7400</v>
      </c>
      <c r="K507" s="6">
        <f>70014.1+544363.2</f>
        <v>614377.29999999993</v>
      </c>
      <c r="L507" s="14">
        <v>246674.58000000002</v>
      </c>
      <c r="M507" s="23">
        <v>500</v>
      </c>
      <c r="N507" s="7" t="s">
        <v>237</v>
      </c>
      <c r="O507" s="20" t="s">
        <v>245</v>
      </c>
      <c r="P507" s="20" t="s">
        <v>245</v>
      </c>
      <c r="Q507" s="20" t="s">
        <v>245</v>
      </c>
      <c r="R507" s="21">
        <v>42745</v>
      </c>
      <c r="S507" s="22" t="s">
        <v>246</v>
      </c>
      <c r="T507" s="22">
        <v>2016</v>
      </c>
      <c r="U507" s="21">
        <v>42735</v>
      </c>
      <c r="V507" s="22"/>
    </row>
    <row r="508" spans="1:22" ht="19.5" customHeight="1" x14ac:dyDescent="0.3">
      <c r="A508" s="3">
        <v>2016</v>
      </c>
      <c r="B508" s="4">
        <v>42644</v>
      </c>
      <c r="C508" s="3">
        <v>2000</v>
      </c>
      <c r="D508" s="10" t="s">
        <v>130</v>
      </c>
      <c r="E508" s="6">
        <v>19310</v>
      </c>
      <c r="F508" s="6">
        <f>54562.53+85315.77</f>
        <v>139878.29999999999</v>
      </c>
      <c r="G508" s="14">
        <v>105666.14</v>
      </c>
      <c r="H508" s="3">
        <v>2900</v>
      </c>
      <c r="I508" s="10" t="s">
        <v>130</v>
      </c>
      <c r="J508" s="6">
        <v>19310</v>
      </c>
      <c r="K508" s="6">
        <f>54562.53+85315.77</f>
        <v>139878.29999999999</v>
      </c>
      <c r="L508" s="14">
        <v>105666.14</v>
      </c>
      <c r="M508" s="19">
        <v>501</v>
      </c>
      <c r="N508" s="7" t="s">
        <v>237</v>
      </c>
      <c r="O508" s="20" t="s">
        <v>245</v>
      </c>
      <c r="P508" s="20" t="s">
        <v>245</v>
      </c>
      <c r="Q508" s="20" t="s">
        <v>245</v>
      </c>
      <c r="R508" s="21">
        <v>42745</v>
      </c>
      <c r="S508" s="22" t="s">
        <v>246</v>
      </c>
      <c r="T508" s="22">
        <v>2016</v>
      </c>
      <c r="U508" s="21">
        <v>42735</v>
      </c>
      <c r="V508" s="22"/>
    </row>
    <row r="509" spans="1:22" ht="19.5" customHeight="1" x14ac:dyDescent="0.3">
      <c r="A509" s="3">
        <v>2016</v>
      </c>
      <c r="B509" s="4">
        <v>42644</v>
      </c>
      <c r="C509" s="3">
        <v>2000</v>
      </c>
      <c r="D509" s="10" t="s">
        <v>131</v>
      </c>
      <c r="E509" s="6">
        <v>1805416.04</v>
      </c>
      <c r="F509" s="6">
        <f>2139339.19+2157139.44</f>
        <v>4296478.63</v>
      </c>
      <c r="G509" s="14">
        <v>2494661.4300000006</v>
      </c>
      <c r="H509" s="3">
        <v>2900</v>
      </c>
      <c r="I509" s="10" t="s">
        <v>131</v>
      </c>
      <c r="J509" s="6">
        <v>1805416.04</v>
      </c>
      <c r="K509" s="6">
        <f>2139339.19+2157139.44</f>
        <v>4296478.63</v>
      </c>
      <c r="L509" s="14">
        <v>2494661.4300000006</v>
      </c>
      <c r="M509" s="23">
        <v>502</v>
      </c>
      <c r="N509" s="7" t="s">
        <v>237</v>
      </c>
      <c r="O509" s="20" t="s">
        <v>245</v>
      </c>
      <c r="P509" s="20" t="s">
        <v>245</v>
      </c>
      <c r="Q509" s="20" t="s">
        <v>245</v>
      </c>
      <c r="R509" s="21">
        <v>42745</v>
      </c>
      <c r="S509" s="22" t="s">
        <v>246</v>
      </c>
      <c r="T509" s="22">
        <v>2016</v>
      </c>
      <c r="U509" s="21">
        <v>42735</v>
      </c>
      <c r="V509" s="22"/>
    </row>
    <row r="510" spans="1:22" ht="19.5" customHeight="1" x14ac:dyDescent="0.3">
      <c r="A510" s="3">
        <v>2016</v>
      </c>
      <c r="B510" s="4">
        <v>42644</v>
      </c>
      <c r="C510" s="3">
        <v>2000</v>
      </c>
      <c r="D510" s="7" t="s">
        <v>217</v>
      </c>
      <c r="E510" s="6">
        <v>0</v>
      </c>
      <c r="F510" s="6">
        <v>0</v>
      </c>
      <c r="G510" s="14">
        <v>0</v>
      </c>
      <c r="H510" s="3">
        <v>2900</v>
      </c>
      <c r="I510" s="7" t="s">
        <v>217</v>
      </c>
      <c r="J510" s="6">
        <v>0</v>
      </c>
      <c r="K510" s="6">
        <v>0</v>
      </c>
      <c r="L510" s="14">
        <v>0</v>
      </c>
      <c r="M510" s="19">
        <v>503</v>
      </c>
      <c r="N510" s="7" t="s">
        <v>237</v>
      </c>
      <c r="O510" s="20" t="s">
        <v>245</v>
      </c>
      <c r="P510" s="20" t="s">
        <v>245</v>
      </c>
      <c r="Q510" s="20" t="s">
        <v>245</v>
      </c>
      <c r="R510" s="21">
        <v>42745</v>
      </c>
      <c r="S510" s="22" t="s">
        <v>246</v>
      </c>
      <c r="T510" s="22">
        <v>2016</v>
      </c>
      <c r="U510" s="21">
        <v>42735</v>
      </c>
      <c r="V510" s="22"/>
    </row>
    <row r="511" spans="1:22" ht="19.5" customHeight="1" x14ac:dyDescent="0.3">
      <c r="A511" s="3">
        <v>2016</v>
      </c>
      <c r="B511" s="4">
        <v>42644</v>
      </c>
      <c r="C511" s="3">
        <v>2000</v>
      </c>
      <c r="D511" s="7" t="s">
        <v>132</v>
      </c>
      <c r="E511" s="6">
        <v>0</v>
      </c>
      <c r="F511" s="6">
        <f>2143+315.52</f>
        <v>2458.52</v>
      </c>
      <c r="G511" s="14">
        <v>2458.52</v>
      </c>
      <c r="H511" s="3">
        <v>2900</v>
      </c>
      <c r="I511" s="7" t="s">
        <v>132</v>
      </c>
      <c r="J511" s="6">
        <v>0</v>
      </c>
      <c r="K511" s="6">
        <f>2143+315.52</f>
        <v>2458.52</v>
      </c>
      <c r="L511" s="14">
        <v>2458.52</v>
      </c>
      <c r="M511" s="23">
        <v>504</v>
      </c>
      <c r="N511" s="7" t="s">
        <v>237</v>
      </c>
      <c r="O511" s="20" t="s">
        <v>245</v>
      </c>
      <c r="P511" s="20" t="s">
        <v>245</v>
      </c>
      <c r="Q511" s="20" t="s">
        <v>245</v>
      </c>
      <c r="R511" s="21">
        <v>42745</v>
      </c>
      <c r="S511" s="22" t="s">
        <v>246</v>
      </c>
      <c r="T511" s="22">
        <v>2016</v>
      </c>
      <c r="U511" s="21">
        <v>42735</v>
      </c>
      <c r="V511" s="22"/>
    </row>
    <row r="512" spans="1:22" ht="19.5" customHeight="1" x14ac:dyDescent="0.3">
      <c r="A512" s="3">
        <v>2016</v>
      </c>
      <c r="B512" s="4">
        <v>42644</v>
      </c>
      <c r="C512" s="3">
        <v>2000</v>
      </c>
      <c r="D512" s="7" t="s">
        <v>218</v>
      </c>
      <c r="E512" s="6">
        <v>0</v>
      </c>
      <c r="F512" s="6">
        <v>0</v>
      </c>
      <c r="G512" s="14">
        <v>0</v>
      </c>
      <c r="H512" s="3">
        <v>2900</v>
      </c>
      <c r="I512" s="7" t="s">
        <v>218</v>
      </c>
      <c r="J512" s="6">
        <v>0</v>
      </c>
      <c r="K512" s="6">
        <v>0</v>
      </c>
      <c r="L512" s="14">
        <v>0</v>
      </c>
      <c r="M512" s="19">
        <v>505</v>
      </c>
      <c r="N512" s="7" t="s">
        <v>237</v>
      </c>
      <c r="O512" s="20" t="s">
        <v>245</v>
      </c>
      <c r="P512" s="20" t="s">
        <v>245</v>
      </c>
      <c r="Q512" s="20" t="s">
        <v>245</v>
      </c>
      <c r="R512" s="21">
        <v>42745</v>
      </c>
      <c r="S512" s="22" t="s">
        <v>246</v>
      </c>
      <c r="T512" s="22">
        <v>2016</v>
      </c>
      <c r="U512" s="21">
        <v>42735</v>
      </c>
      <c r="V512" s="22"/>
    </row>
    <row r="513" spans="1:22" ht="19.5" customHeight="1" x14ac:dyDescent="0.3">
      <c r="A513" s="3">
        <v>2016</v>
      </c>
      <c r="B513" s="4">
        <v>42644</v>
      </c>
      <c r="C513" s="3">
        <v>2000</v>
      </c>
      <c r="D513" s="7" t="s">
        <v>219</v>
      </c>
      <c r="E513" s="6">
        <v>0</v>
      </c>
      <c r="F513" s="6">
        <v>1392</v>
      </c>
      <c r="G513" s="14">
        <v>1392</v>
      </c>
      <c r="H513" s="3">
        <v>2900</v>
      </c>
      <c r="I513" s="7" t="s">
        <v>219</v>
      </c>
      <c r="J513" s="6">
        <v>0</v>
      </c>
      <c r="K513" s="6">
        <v>1392</v>
      </c>
      <c r="L513" s="14">
        <v>1392</v>
      </c>
      <c r="M513" s="23">
        <v>506</v>
      </c>
      <c r="N513" s="7" t="s">
        <v>237</v>
      </c>
      <c r="O513" s="20" t="s">
        <v>245</v>
      </c>
      <c r="P513" s="20" t="s">
        <v>245</v>
      </c>
      <c r="Q513" s="20" t="s">
        <v>245</v>
      </c>
      <c r="R513" s="21">
        <v>42745</v>
      </c>
      <c r="S513" s="22" t="s">
        <v>246</v>
      </c>
      <c r="T513" s="22">
        <v>2016</v>
      </c>
      <c r="U513" s="21">
        <v>42735</v>
      </c>
      <c r="V513" s="22"/>
    </row>
    <row r="514" spans="1:22" ht="19.5" customHeight="1" x14ac:dyDescent="0.3">
      <c r="A514" s="3">
        <v>2016</v>
      </c>
      <c r="B514" s="4">
        <v>42644</v>
      </c>
      <c r="C514" s="3">
        <v>2000</v>
      </c>
      <c r="D514" s="7" t="s">
        <v>133</v>
      </c>
      <c r="E514" s="6">
        <v>0</v>
      </c>
      <c r="F514" s="6">
        <f>78624.6+20974.47</f>
        <v>99599.07</v>
      </c>
      <c r="G514" s="14">
        <v>80449.87</v>
      </c>
      <c r="H514" s="3">
        <v>2900</v>
      </c>
      <c r="I514" s="7" t="s">
        <v>133</v>
      </c>
      <c r="J514" s="6">
        <v>0</v>
      </c>
      <c r="K514" s="6">
        <f>78624.6+20974.47</f>
        <v>99599.07</v>
      </c>
      <c r="L514" s="14">
        <v>80449.87</v>
      </c>
      <c r="M514" s="19">
        <v>507</v>
      </c>
      <c r="N514" s="7" t="s">
        <v>237</v>
      </c>
      <c r="O514" s="20" t="s">
        <v>245</v>
      </c>
      <c r="P514" s="20" t="s">
        <v>245</v>
      </c>
      <c r="Q514" s="20" t="s">
        <v>245</v>
      </c>
      <c r="R514" s="21">
        <v>42745</v>
      </c>
      <c r="S514" s="22" t="s">
        <v>246</v>
      </c>
      <c r="T514" s="22">
        <v>2016</v>
      </c>
      <c r="U514" s="21">
        <v>42735</v>
      </c>
      <c r="V514" s="22"/>
    </row>
    <row r="515" spans="1:22" ht="19.5" customHeight="1" x14ac:dyDescent="0.3">
      <c r="A515" s="3">
        <v>2016</v>
      </c>
      <c r="B515" s="4">
        <v>42644</v>
      </c>
      <c r="C515" s="3">
        <v>3000</v>
      </c>
      <c r="D515" s="7" t="s">
        <v>134</v>
      </c>
      <c r="E515" s="6">
        <v>24000</v>
      </c>
      <c r="F515" s="6">
        <v>0</v>
      </c>
      <c r="G515" s="14">
        <v>0</v>
      </c>
      <c r="H515" s="3">
        <v>3100</v>
      </c>
      <c r="I515" s="7" t="s">
        <v>134</v>
      </c>
      <c r="J515" s="6">
        <v>24000</v>
      </c>
      <c r="K515" s="6">
        <v>0</v>
      </c>
      <c r="L515" s="14">
        <v>0</v>
      </c>
      <c r="M515" s="23">
        <v>508</v>
      </c>
      <c r="N515" s="7" t="s">
        <v>242</v>
      </c>
      <c r="O515" s="20" t="s">
        <v>245</v>
      </c>
      <c r="P515" s="20" t="s">
        <v>245</v>
      </c>
      <c r="Q515" s="20" t="s">
        <v>245</v>
      </c>
      <c r="R515" s="21">
        <v>42745</v>
      </c>
      <c r="S515" s="22" t="s">
        <v>246</v>
      </c>
      <c r="T515" s="22">
        <v>2016</v>
      </c>
      <c r="U515" s="21">
        <v>42735</v>
      </c>
      <c r="V515" s="22"/>
    </row>
    <row r="516" spans="1:22" ht="19.5" customHeight="1" x14ac:dyDescent="0.3">
      <c r="A516" s="3">
        <v>2016</v>
      </c>
      <c r="B516" s="4">
        <v>42644</v>
      </c>
      <c r="C516" s="3">
        <v>3000</v>
      </c>
      <c r="D516" s="10" t="s">
        <v>135</v>
      </c>
      <c r="E516" s="6">
        <v>8750000.0399999991</v>
      </c>
      <c r="F516" s="6">
        <f>8750000.03+389928</f>
        <v>9139928.0299999993</v>
      </c>
      <c r="G516" s="14">
        <v>7488105.6399999997</v>
      </c>
      <c r="H516" s="3">
        <v>3100</v>
      </c>
      <c r="I516" s="10" t="s">
        <v>135</v>
      </c>
      <c r="J516" s="6">
        <v>8750000.0399999991</v>
      </c>
      <c r="K516" s="6">
        <f>8750000.03+389928</f>
        <v>9139928.0299999993</v>
      </c>
      <c r="L516" s="14">
        <v>7488105.6399999997</v>
      </c>
      <c r="M516" s="19">
        <v>509</v>
      </c>
      <c r="N516" s="7" t="s">
        <v>242</v>
      </c>
      <c r="O516" s="20" t="s">
        <v>245</v>
      </c>
      <c r="P516" s="20" t="s">
        <v>245</v>
      </c>
      <c r="Q516" s="20" t="s">
        <v>245</v>
      </c>
      <c r="R516" s="21">
        <v>42745</v>
      </c>
      <c r="S516" s="22" t="s">
        <v>246</v>
      </c>
      <c r="T516" s="22">
        <v>2016</v>
      </c>
      <c r="U516" s="21">
        <v>42735</v>
      </c>
      <c r="V516" s="22"/>
    </row>
    <row r="517" spans="1:22" ht="19.5" customHeight="1" x14ac:dyDescent="0.3">
      <c r="A517" s="3">
        <v>2016</v>
      </c>
      <c r="B517" s="4">
        <v>42644</v>
      </c>
      <c r="C517" s="3">
        <v>3000</v>
      </c>
      <c r="D517" s="10" t="s">
        <v>220</v>
      </c>
      <c r="E517" s="6">
        <v>0</v>
      </c>
      <c r="F517" s="6">
        <v>15185.04</v>
      </c>
      <c r="G517" s="14">
        <v>15185.04</v>
      </c>
      <c r="H517" s="3">
        <v>3100</v>
      </c>
      <c r="I517" s="10" t="s">
        <v>220</v>
      </c>
      <c r="J517" s="6">
        <v>0</v>
      </c>
      <c r="K517" s="6">
        <v>15185.04</v>
      </c>
      <c r="L517" s="14">
        <v>15185.04</v>
      </c>
      <c r="M517" s="23">
        <v>510</v>
      </c>
      <c r="N517" s="7" t="s">
        <v>242</v>
      </c>
      <c r="O517" s="20" t="s">
        <v>245</v>
      </c>
      <c r="P517" s="20" t="s">
        <v>245</v>
      </c>
      <c r="Q517" s="20" t="s">
        <v>245</v>
      </c>
      <c r="R517" s="21">
        <v>42745</v>
      </c>
      <c r="S517" s="22" t="s">
        <v>246</v>
      </c>
      <c r="T517" s="22">
        <v>2016</v>
      </c>
      <c r="U517" s="21">
        <v>42735</v>
      </c>
      <c r="V517" s="22"/>
    </row>
    <row r="518" spans="1:22" ht="19.5" customHeight="1" x14ac:dyDescent="0.3">
      <c r="A518" s="3">
        <v>2016</v>
      </c>
      <c r="B518" s="4">
        <v>42644</v>
      </c>
      <c r="C518" s="3">
        <v>3000</v>
      </c>
      <c r="D518" s="10" t="s">
        <v>136</v>
      </c>
      <c r="E518" s="6">
        <v>3000000</v>
      </c>
      <c r="F518" s="6">
        <f>3000000+664659</f>
        <v>3664659</v>
      </c>
      <c r="G518" s="14">
        <v>2414343</v>
      </c>
      <c r="H518" s="3">
        <v>3100</v>
      </c>
      <c r="I518" s="10" t="s">
        <v>136</v>
      </c>
      <c r="J518" s="6">
        <v>3000000</v>
      </c>
      <c r="K518" s="6">
        <f>3000000+664659</f>
        <v>3664659</v>
      </c>
      <c r="L518" s="14">
        <v>2414343</v>
      </c>
      <c r="M518" s="19">
        <v>511</v>
      </c>
      <c r="N518" s="7" t="s">
        <v>242</v>
      </c>
      <c r="O518" s="20" t="s">
        <v>245</v>
      </c>
      <c r="P518" s="20" t="s">
        <v>245</v>
      </c>
      <c r="Q518" s="20" t="s">
        <v>245</v>
      </c>
      <c r="R518" s="21">
        <v>42745</v>
      </c>
      <c r="S518" s="22" t="s">
        <v>246</v>
      </c>
      <c r="T518" s="22">
        <v>2016</v>
      </c>
      <c r="U518" s="21">
        <v>42735</v>
      </c>
      <c r="V518" s="22"/>
    </row>
    <row r="519" spans="1:22" ht="19.5" customHeight="1" x14ac:dyDescent="0.3">
      <c r="A519" s="3">
        <v>2016</v>
      </c>
      <c r="B519" s="4">
        <v>42644</v>
      </c>
      <c r="C519" s="3">
        <v>3000</v>
      </c>
      <c r="D519" s="10" t="s">
        <v>137</v>
      </c>
      <c r="E519" s="6">
        <v>1060000</v>
      </c>
      <c r="F519" s="6">
        <f>1060000+72601.24</f>
        <v>1132601.24</v>
      </c>
      <c r="G519" s="14">
        <v>911556.9</v>
      </c>
      <c r="H519" s="3">
        <v>3100</v>
      </c>
      <c r="I519" s="10" t="s">
        <v>137</v>
      </c>
      <c r="J519" s="6">
        <v>1060000</v>
      </c>
      <c r="K519" s="6">
        <f>1060000+72601.24</f>
        <v>1132601.24</v>
      </c>
      <c r="L519" s="14">
        <v>911556.9</v>
      </c>
      <c r="M519" s="23">
        <v>512</v>
      </c>
      <c r="N519" s="7" t="s">
        <v>242</v>
      </c>
      <c r="O519" s="20" t="s">
        <v>245</v>
      </c>
      <c r="P519" s="20" t="s">
        <v>245</v>
      </c>
      <c r="Q519" s="20" t="s">
        <v>245</v>
      </c>
      <c r="R519" s="21">
        <v>42745</v>
      </c>
      <c r="S519" s="22" t="s">
        <v>246</v>
      </c>
      <c r="T519" s="22">
        <v>2016</v>
      </c>
      <c r="U519" s="21">
        <v>42735</v>
      </c>
      <c r="V519" s="22"/>
    </row>
    <row r="520" spans="1:22" ht="19.5" customHeight="1" x14ac:dyDescent="0.3">
      <c r="A520" s="3">
        <v>2016</v>
      </c>
      <c r="B520" s="4">
        <v>42644</v>
      </c>
      <c r="C520" s="3">
        <v>3000</v>
      </c>
      <c r="D520" s="10" t="s">
        <v>138</v>
      </c>
      <c r="E520" s="6">
        <v>250000</v>
      </c>
      <c r="F520" s="6">
        <f>249999.99+47828.76</f>
        <v>297828.75</v>
      </c>
      <c r="G520" s="14">
        <v>135555.25</v>
      </c>
      <c r="H520" s="3">
        <v>3100</v>
      </c>
      <c r="I520" s="10" t="s">
        <v>138</v>
      </c>
      <c r="J520" s="6">
        <v>250000</v>
      </c>
      <c r="K520" s="6">
        <f>249999.99+47828.76</f>
        <v>297828.75</v>
      </c>
      <c r="L520" s="14">
        <v>135555.25</v>
      </c>
      <c r="M520" s="19">
        <v>513</v>
      </c>
      <c r="N520" s="7" t="s">
        <v>242</v>
      </c>
      <c r="O520" s="20" t="s">
        <v>245</v>
      </c>
      <c r="P520" s="20" t="s">
        <v>245</v>
      </c>
      <c r="Q520" s="20" t="s">
        <v>245</v>
      </c>
      <c r="R520" s="21">
        <v>42745</v>
      </c>
      <c r="S520" s="22" t="s">
        <v>246</v>
      </c>
      <c r="T520" s="22">
        <v>2016</v>
      </c>
      <c r="U520" s="21">
        <v>42735</v>
      </c>
      <c r="V520" s="22"/>
    </row>
    <row r="521" spans="1:22" ht="19.5" customHeight="1" x14ac:dyDescent="0.3">
      <c r="A521" s="3">
        <v>2016</v>
      </c>
      <c r="B521" s="4">
        <v>42644</v>
      </c>
      <c r="C521" s="3">
        <v>3000</v>
      </c>
      <c r="D521" s="10" t="s">
        <v>139</v>
      </c>
      <c r="E521" s="6">
        <v>5394510.0099999998</v>
      </c>
      <c r="F521" s="6">
        <f>3396054.81+330031.42</f>
        <v>3726086.23</v>
      </c>
      <c r="G521" s="14">
        <v>3625226.13</v>
      </c>
      <c r="H521" s="3">
        <v>3100</v>
      </c>
      <c r="I521" s="10" t="s">
        <v>139</v>
      </c>
      <c r="J521" s="6">
        <v>5394510.0099999998</v>
      </c>
      <c r="K521" s="6">
        <f>3396054.81+330031.42</f>
        <v>3726086.23</v>
      </c>
      <c r="L521" s="14">
        <v>3625226.13</v>
      </c>
      <c r="M521" s="23">
        <v>514</v>
      </c>
      <c r="N521" s="7" t="s">
        <v>242</v>
      </c>
      <c r="O521" s="20" t="s">
        <v>245</v>
      </c>
      <c r="P521" s="20" t="s">
        <v>245</v>
      </c>
      <c r="Q521" s="20" t="s">
        <v>245</v>
      </c>
      <c r="R521" s="21">
        <v>42745</v>
      </c>
      <c r="S521" s="22" t="s">
        <v>246</v>
      </c>
      <c r="T521" s="22">
        <v>2016</v>
      </c>
      <c r="U521" s="21">
        <v>42735</v>
      </c>
      <c r="V521" s="22"/>
    </row>
    <row r="522" spans="1:22" ht="19.5" customHeight="1" x14ac:dyDescent="0.3">
      <c r="A522" s="3">
        <v>2016</v>
      </c>
      <c r="B522" s="4">
        <v>42644</v>
      </c>
      <c r="C522" s="3">
        <v>3000</v>
      </c>
      <c r="D522" s="10" t="s">
        <v>140</v>
      </c>
      <c r="E522" s="6">
        <v>92680</v>
      </c>
      <c r="F522" s="6">
        <v>102318.23</v>
      </c>
      <c r="G522" s="14">
        <v>52737.5</v>
      </c>
      <c r="H522" s="3">
        <v>3100</v>
      </c>
      <c r="I522" s="10" t="s">
        <v>140</v>
      </c>
      <c r="J522" s="6">
        <v>92680</v>
      </c>
      <c r="K522" s="6">
        <v>102318.23</v>
      </c>
      <c r="L522" s="14">
        <v>52737.5</v>
      </c>
      <c r="M522" s="19">
        <v>515</v>
      </c>
      <c r="N522" s="7" t="s">
        <v>242</v>
      </c>
      <c r="O522" s="20" t="s">
        <v>245</v>
      </c>
      <c r="P522" s="20" t="s">
        <v>245</v>
      </c>
      <c r="Q522" s="20" t="s">
        <v>245</v>
      </c>
      <c r="R522" s="21">
        <v>42745</v>
      </c>
      <c r="S522" s="22" t="s">
        <v>246</v>
      </c>
      <c r="T522" s="22">
        <v>2016</v>
      </c>
      <c r="U522" s="21">
        <v>42735</v>
      </c>
      <c r="V522" s="22"/>
    </row>
    <row r="523" spans="1:22" ht="19.5" customHeight="1" x14ac:dyDescent="0.3">
      <c r="A523" s="3">
        <v>2016</v>
      </c>
      <c r="B523" s="4">
        <v>42644</v>
      </c>
      <c r="C523" s="3">
        <v>3000</v>
      </c>
      <c r="D523" s="7" t="s">
        <v>141</v>
      </c>
      <c r="E523" s="6">
        <v>2095714</v>
      </c>
      <c r="F523" s="6">
        <f>2614060+95642</f>
        <v>2709702</v>
      </c>
      <c r="G523" s="14">
        <v>2192355.92</v>
      </c>
      <c r="H523" s="3">
        <v>3100</v>
      </c>
      <c r="I523" s="7" t="s">
        <v>141</v>
      </c>
      <c r="J523" s="6">
        <v>2095714</v>
      </c>
      <c r="K523" s="6">
        <f>2614060+95642</f>
        <v>2709702</v>
      </c>
      <c r="L523" s="14">
        <v>2192355.92</v>
      </c>
      <c r="M523" s="23">
        <v>516</v>
      </c>
      <c r="N523" s="7" t="s">
        <v>242</v>
      </c>
      <c r="O523" s="20" t="s">
        <v>245</v>
      </c>
      <c r="P523" s="20" t="s">
        <v>245</v>
      </c>
      <c r="Q523" s="20" t="s">
        <v>245</v>
      </c>
      <c r="R523" s="21">
        <v>42745</v>
      </c>
      <c r="S523" s="22" t="s">
        <v>246</v>
      </c>
      <c r="T523" s="22">
        <v>2016</v>
      </c>
      <c r="U523" s="21">
        <v>42735</v>
      </c>
      <c r="V523" s="22"/>
    </row>
    <row r="524" spans="1:22" ht="19.5" customHeight="1" x14ac:dyDescent="0.3">
      <c r="A524" s="3">
        <v>2016</v>
      </c>
      <c r="B524" s="4">
        <v>42644</v>
      </c>
      <c r="C524" s="3">
        <v>3000</v>
      </c>
      <c r="D524" s="10" t="s">
        <v>142</v>
      </c>
      <c r="E524" s="6">
        <v>9127399.8000000007</v>
      </c>
      <c r="F524" s="6">
        <v>9627399</v>
      </c>
      <c r="G524" s="14">
        <v>9040472.1600000001</v>
      </c>
      <c r="H524" s="3">
        <v>3200</v>
      </c>
      <c r="I524" s="10" t="s">
        <v>142</v>
      </c>
      <c r="J524" s="6">
        <v>9127399.8000000007</v>
      </c>
      <c r="K524" s="6">
        <v>9627399</v>
      </c>
      <c r="L524" s="14">
        <v>9040472.1600000001</v>
      </c>
      <c r="M524" s="19">
        <v>517</v>
      </c>
      <c r="N524" s="7" t="s">
        <v>242</v>
      </c>
      <c r="O524" s="20" t="s">
        <v>245</v>
      </c>
      <c r="P524" s="20" t="s">
        <v>245</v>
      </c>
      <c r="Q524" s="20" t="s">
        <v>245</v>
      </c>
      <c r="R524" s="21">
        <v>42745</v>
      </c>
      <c r="S524" s="22" t="s">
        <v>246</v>
      </c>
      <c r="T524" s="22">
        <v>2016</v>
      </c>
      <c r="U524" s="21">
        <v>42735</v>
      </c>
      <c r="V524" s="22"/>
    </row>
    <row r="525" spans="1:22" ht="19.5" customHeight="1" x14ac:dyDescent="0.3">
      <c r="A525" s="3">
        <v>2016</v>
      </c>
      <c r="B525" s="4">
        <v>42644</v>
      </c>
      <c r="C525" s="3">
        <v>3000</v>
      </c>
      <c r="D525" s="10" t="s">
        <v>143</v>
      </c>
      <c r="E525" s="6">
        <v>116000</v>
      </c>
      <c r="F525" s="6">
        <f>82940+23896</f>
        <v>106836</v>
      </c>
      <c r="G525" s="14">
        <v>74892</v>
      </c>
      <c r="H525" s="3">
        <v>3200</v>
      </c>
      <c r="I525" s="10" t="s">
        <v>143</v>
      </c>
      <c r="J525" s="6">
        <v>116000</v>
      </c>
      <c r="K525" s="6">
        <f>82940+23896</f>
        <v>106836</v>
      </c>
      <c r="L525" s="14">
        <v>74892</v>
      </c>
      <c r="M525" s="23">
        <v>518</v>
      </c>
      <c r="N525" s="7" t="s">
        <v>242</v>
      </c>
      <c r="O525" s="20" t="s">
        <v>245</v>
      </c>
      <c r="P525" s="20" t="s">
        <v>245</v>
      </c>
      <c r="Q525" s="20" t="s">
        <v>245</v>
      </c>
      <c r="R525" s="21">
        <v>42745</v>
      </c>
      <c r="S525" s="22" t="s">
        <v>246</v>
      </c>
      <c r="T525" s="22">
        <v>2016</v>
      </c>
      <c r="U525" s="21">
        <v>42735</v>
      </c>
      <c r="V525" s="22"/>
    </row>
    <row r="526" spans="1:22" ht="19.5" customHeight="1" x14ac:dyDescent="0.3">
      <c r="A526" s="3">
        <v>2016</v>
      </c>
      <c r="B526" s="4">
        <v>42644</v>
      </c>
      <c r="C526" s="3">
        <v>3000</v>
      </c>
      <c r="D526" s="7" t="s">
        <v>144</v>
      </c>
      <c r="E526" s="6">
        <v>15000</v>
      </c>
      <c r="F526" s="6">
        <v>0</v>
      </c>
      <c r="G526" s="14">
        <v>0</v>
      </c>
      <c r="H526" s="3">
        <v>3200</v>
      </c>
      <c r="I526" s="7" t="s">
        <v>144</v>
      </c>
      <c r="J526" s="6">
        <v>15000</v>
      </c>
      <c r="K526" s="6">
        <v>0</v>
      </c>
      <c r="L526" s="14">
        <v>0</v>
      </c>
      <c r="M526" s="19">
        <v>519</v>
      </c>
      <c r="N526" s="7" t="s">
        <v>242</v>
      </c>
      <c r="O526" s="20" t="s">
        <v>245</v>
      </c>
      <c r="P526" s="20" t="s">
        <v>245</v>
      </c>
      <c r="Q526" s="20" t="s">
        <v>245</v>
      </c>
      <c r="R526" s="21">
        <v>42745</v>
      </c>
      <c r="S526" s="22" t="s">
        <v>246</v>
      </c>
      <c r="T526" s="22">
        <v>2016</v>
      </c>
      <c r="U526" s="21">
        <v>42735</v>
      </c>
      <c r="V526" s="22"/>
    </row>
    <row r="527" spans="1:22" ht="19.5" customHeight="1" x14ac:dyDescent="0.3">
      <c r="A527" s="3">
        <v>2016</v>
      </c>
      <c r="B527" s="4">
        <v>42644</v>
      </c>
      <c r="C527" s="3">
        <v>3000</v>
      </c>
      <c r="D527" s="7" t="s">
        <v>221</v>
      </c>
      <c r="E527" s="6">
        <v>0</v>
      </c>
      <c r="F527" s="6">
        <v>20400.07</v>
      </c>
      <c r="G527" s="14">
        <v>20010</v>
      </c>
      <c r="H527" s="3">
        <v>3200</v>
      </c>
      <c r="I527" s="7" t="s">
        <v>221</v>
      </c>
      <c r="J527" s="6">
        <v>0</v>
      </c>
      <c r="K527" s="6">
        <v>20400.07</v>
      </c>
      <c r="L527" s="14">
        <v>20010</v>
      </c>
      <c r="M527" s="23">
        <v>520</v>
      </c>
      <c r="N527" s="7" t="s">
        <v>242</v>
      </c>
      <c r="O527" s="20" t="s">
        <v>245</v>
      </c>
      <c r="P527" s="20" t="s">
        <v>245</v>
      </c>
      <c r="Q527" s="20" t="s">
        <v>245</v>
      </c>
      <c r="R527" s="21">
        <v>42745</v>
      </c>
      <c r="S527" s="22" t="s">
        <v>246</v>
      </c>
      <c r="T527" s="22">
        <v>2016</v>
      </c>
      <c r="U527" s="21">
        <v>42735</v>
      </c>
      <c r="V527" s="22"/>
    </row>
    <row r="528" spans="1:22" ht="19.5" customHeight="1" x14ac:dyDescent="0.3">
      <c r="A528" s="3">
        <v>2016</v>
      </c>
      <c r="B528" s="4">
        <v>42644</v>
      </c>
      <c r="C528" s="3">
        <v>3000</v>
      </c>
      <c r="D528" s="10" t="s">
        <v>145</v>
      </c>
      <c r="E528" s="6">
        <v>1135065</v>
      </c>
      <c r="F528" s="6">
        <f>1006101.13+8000+1200000</f>
        <v>2214101.13</v>
      </c>
      <c r="G528" s="14">
        <v>464366.67</v>
      </c>
      <c r="H528" s="3">
        <v>3200</v>
      </c>
      <c r="I528" s="10" t="s">
        <v>145</v>
      </c>
      <c r="J528" s="6">
        <v>1135065</v>
      </c>
      <c r="K528" s="6">
        <f>1006101.13+8000+1200000</f>
        <v>2214101.13</v>
      </c>
      <c r="L528" s="14">
        <v>464366.67</v>
      </c>
      <c r="M528" s="19">
        <v>521</v>
      </c>
      <c r="N528" s="7" t="s">
        <v>242</v>
      </c>
      <c r="O528" s="20" t="s">
        <v>245</v>
      </c>
      <c r="P528" s="20" t="s">
        <v>245</v>
      </c>
      <c r="Q528" s="20" t="s">
        <v>245</v>
      </c>
      <c r="R528" s="21">
        <v>42745</v>
      </c>
      <c r="S528" s="22" t="s">
        <v>246</v>
      </c>
      <c r="T528" s="22">
        <v>2016</v>
      </c>
      <c r="U528" s="21">
        <v>42735</v>
      </c>
      <c r="V528" s="22"/>
    </row>
    <row r="529" spans="1:22" ht="19.5" customHeight="1" x14ac:dyDescent="0.3">
      <c r="A529" s="3">
        <v>2016</v>
      </c>
      <c r="B529" s="4">
        <v>42644</v>
      </c>
      <c r="C529" s="3">
        <v>3000</v>
      </c>
      <c r="D529" s="10" t="s">
        <v>146</v>
      </c>
      <c r="E529" s="6">
        <v>41000</v>
      </c>
      <c r="F529" s="6">
        <v>55442</v>
      </c>
      <c r="G529" s="14">
        <v>70318.12</v>
      </c>
      <c r="H529" s="3">
        <v>3200</v>
      </c>
      <c r="I529" s="10" t="s">
        <v>146</v>
      </c>
      <c r="J529" s="6">
        <v>41000</v>
      </c>
      <c r="K529" s="6">
        <v>55442</v>
      </c>
      <c r="L529" s="14">
        <v>70318.12</v>
      </c>
      <c r="M529" s="23">
        <v>522</v>
      </c>
      <c r="N529" s="7" t="s">
        <v>242</v>
      </c>
      <c r="O529" s="20" t="s">
        <v>245</v>
      </c>
      <c r="P529" s="20" t="s">
        <v>245</v>
      </c>
      <c r="Q529" s="20" t="s">
        <v>245</v>
      </c>
      <c r="R529" s="21">
        <v>42745</v>
      </c>
      <c r="S529" s="22" t="s">
        <v>246</v>
      </c>
      <c r="T529" s="22">
        <v>2016</v>
      </c>
      <c r="U529" s="21">
        <v>42735</v>
      </c>
      <c r="V529" s="22"/>
    </row>
    <row r="530" spans="1:22" ht="19.5" customHeight="1" x14ac:dyDescent="0.3">
      <c r="A530" s="3">
        <v>2016</v>
      </c>
      <c r="B530" s="4">
        <v>42644</v>
      </c>
      <c r="C530" s="3">
        <v>3000</v>
      </c>
      <c r="D530" s="10" t="s">
        <v>147</v>
      </c>
      <c r="E530" s="6">
        <v>7485000</v>
      </c>
      <c r="F530" s="6">
        <f>5088334.47+4114658.06</f>
        <v>9202992.5299999993</v>
      </c>
      <c r="G530" s="14">
        <v>1616608.29</v>
      </c>
      <c r="H530" s="3">
        <v>3300</v>
      </c>
      <c r="I530" s="10" t="s">
        <v>147</v>
      </c>
      <c r="J530" s="6">
        <v>7485000</v>
      </c>
      <c r="K530" s="6">
        <f>5088334.47+4114658.06</f>
        <v>9202992.5299999993</v>
      </c>
      <c r="L530" s="14">
        <v>1616608.29</v>
      </c>
      <c r="M530" s="19">
        <v>523</v>
      </c>
      <c r="N530" s="7" t="s">
        <v>242</v>
      </c>
      <c r="O530" s="20" t="s">
        <v>245</v>
      </c>
      <c r="P530" s="20" t="s">
        <v>245</v>
      </c>
      <c r="Q530" s="20" t="s">
        <v>245</v>
      </c>
      <c r="R530" s="21">
        <v>42745</v>
      </c>
      <c r="S530" s="22" t="s">
        <v>246</v>
      </c>
      <c r="T530" s="22">
        <v>2016</v>
      </c>
      <c r="U530" s="21">
        <v>42735</v>
      </c>
      <c r="V530" s="22"/>
    </row>
    <row r="531" spans="1:22" ht="19.5" customHeight="1" x14ac:dyDescent="0.3">
      <c r="A531" s="3">
        <v>2016</v>
      </c>
      <c r="B531" s="4">
        <v>42644</v>
      </c>
      <c r="C531" s="3">
        <v>3000</v>
      </c>
      <c r="D531" s="7" t="s">
        <v>148</v>
      </c>
      <c r="E531" s="6">
        <v>4500</v>
      </c>
      <c r="F531" s="6">
        <f>36024.44+9944261.53+9840000</f>
        <v>19820285.969999999</v>
      </c>
      <c r="G531" s="14">
        <v>8921962.6000000015</v>
      </c>
      <c r="H531" s="3">
        <v>3300</v>
      </c>
      <c r="I531" s="7" t="s">
        <v>148</v>
      </c>
      <c r="J531" s="6">
        <v>4500</v>
      </c>
      <c r="K531" s="6">
        <f>36024.44+9944261.53+9840000</f>
        <v>19820285.969999999</v>
      </c>
      <c r="L531" s="14">
        <v>8921962.6000000015</v>
      </c>
      <c r="M531" s="23">
        <v>524</v>
      </c>
      <c r="N531" s="7" t="s">
        <v>242</v>
      </c>
      <c r="O531" s="20" t="s">
        <v>245</v>
      </c>
      <c r="P531" s="20" t="s">
        <v>245</v>
      </c>
      <c r="Q531" s="20" t="s">
        <v>245</v>
      </c>
      <c r="R531" s="21">
        <v>42745</v>
      </c>
      <c r="S531" s="22" t="s">
        <v>246</v>
      </c>
      <c r="T531" s="22">
        <v>2016</v>
      </c>
      <c r="U531" s="21">
        <v>42735</v>
      </c>
      <c r="V531" s="22"/>
    </row>
    <row r="532" spans="1:22" ht="19.5" customHeight="1" x14ac:dyDescent="0.3">
      <c r="A532" s="3">
        <v>2016</v>
      </c>
      <c r="B532" s="4">
        <v>42644</v>
      </c>
      <c r="C532" s="3">
        <v>3000</v>
      </c>
      <c r="D532" s="10" t="s">
        <v>149</v>
      </c>
      <c r="E532" s="6">
        <v>2133390</v>
      </c>
      <c r="F532" s="6">
        <f>1126264+1084600</f>
        <v>2210864</v>
      </c>
      <c r="G532" s="14">
        <v>1702711.71</v>
      </c>
      <c r="H532" s="3">
        <v>3300</v>
      </c>
      <c r="I532" s="10" t="s">
        <v>149</v>
      </c>
      <c r="J532" s="6">
        <v>2133390</v>
      </c>
      <c r="K532" s="6">
        <f>1126264+1084600</f>
        <v>2210864</v>
      </c>
      <c r="L532" s="14">
        <v>1702711.71</v>
      </c>
      <c r="M532" s="19">
        <v>525</v>
      </c>
      <c r="N532" s="7" t="s">
        <v>242</v>
      </c>
      <c r="O532" s="20" t="s">
        <v>245</v>
      </c>
      <c r="P532" s="20" t="s">
        <v>245</v>
      </c>
      <c r="Q532" s="20" t="s">
        <v>245</v>
      </c>
      <c r="R532" s="21">
        <v>42745</v>
      </c>
      <c r="S532" s="22" t="s">
        <v>246</v>
      </c>
      <c r="T532" s="22">
        <v>2016</v>
      </c>
      <c r="U532" s="21">
        <v>42735</v>
      </c>
      <c r="V532" s="22"/>
    </row>
    <row r="533" spans="1:22" ht="19.5" customHeight="1" x14ac:dyDescent="0.3">
      <c r="A533" s="3">
        <v>2016</v>
      </c>
      <c r="B533" s="4">
        <v>42644</v>
      </c>
      <c r="C533" s="3">
        <v>3000</v>
      </c>
      <c r="D533" s="10" t="s">
        <v>150</v>
      </c>
      <c r="E533" s="6">
        <v>429134</v>
      </c>
      <c r="F533" s="6">
        <f>1531635.71+63892.8</f>
        <v>1595528.51</v>
      </c>
      <c r="G533" s="14">
        <v>399479.24</v>
      </c>
      <c r="H533" s="3">
        <v>3300</v>
      </c>
      <c r="I533" s="10" t="s">
        <v>150</v>
      </c>
      <c r="J533" s="6">
        <v>429134</v>
      </c>
      <c r="K533" s="6">
        <f>1531635.71+63892.8</f>
        <v>1595528.51</v>
      </c>
      <c r="L533" s="14">
        <v>399479.24</v>
      </c>
      <c r="M533" s="23">
        <v>526</v>
      </c>
      <c r="N533" s="7" t="s">
        <v>242</v>
      </c>
      <c r="O533" s="20" t="s">
        <v>245</v>
      </c>
      <c r="P533" s="20" t="s">
        <v>245</v>
      </c>
      <c r="Q533" s="20" t="s">
        <v>245</v>
      </c>
      <c r="R533" s="21">
        <v>42745</v>
      </c>
      <c r="S533" s="22" t="s">
        <v>246</v>
      </c>
      <c r="T533" s="22">
        <v>2016</v>
      </c>
      <c r="U533" s="21">
        <v>42735</v>
      </c>
      <c r="V533" s="22"/>
    </row>
    <row r="534" spans="1:22" ht="19.5" customHeight="1" x14ac:dyDescent="0.3">
      <c r="A534" s="3">
        <v>2016</v>
      </c>
      <c r="B534" s="4">
        <v>42644</v>
      </c>
      <c r="C534" s="3">
        <v>3000</v>
      </c>
      <c r="D534" s="10" t="s">
        <v>151</v>
      </c>
      <c r="E534" s="6">
        <v>3680970</v>
      </c>
      <c r="F534" s="6">
        <v>485234.25</v>
      </c>
      <c r="G534" s="14">
        <v>207670</v>
      </c>
      <c r="H534" s="3">
        <v>3300</v>
      </c>
      <c r="I534" s="10" t="s">
        <v>151</v>
      </c>
      <c r="J534" s="6">
        <v>3680970</v>
      </c>
      <c r="K534" s="6">
        <v>485234.25</v>
      </c>
      <c r="L534" s="14">
        <v>207670</v>
      </c>
      <c r="M534" s="19">
        <v>527</v>
      </c>
      <c r="N534" s="7" t="s">
        <v>242</v>
      </c>
      <c r="O534" s="20" t="s">
        <v>245</v>
      </c>
      <c r="P534" s="20" t="s">
        <v>245</v>
      </c>
      <c r="Q534" s="20" t="s">
        <v>245</v>
      </c>
      <c r="R534" s="21">
        <v>42745</v>
      </c>
      <c r="S534" s="22" t="s">
        <v>246</v>
      </c>
      <c r="T534" s="22">
        <v>2016</v>
      </c>
      <c r="U534" s="21">
        <v>42735</v>
      </c>
      <c r="V534" s="22"/>
    </row>
    <row r="535" spans="1:22" ht="19.5" customHeight="1" x14ac:dyDescent="0.3">
      <c r="A535" s="3">
        <v>2016</v>
      </c>
      <c r="B535" s="4">
        <v>42644</v>
      </c>
      <c r="C535" s="3">
        <v>3000</v>
      </c>
      <c r="D535" s="10" t="s">
        <v>152</v>
      </c>
      <c r="E535" s="6">
        <v>915767.8</v>
      </c>
      <c r="F535" s="6">
        <f>913820.19+54253.51</f>
        <v>968073.7</v>
      </c>
      <c r="G535" s="14">
        <v>621877.48</v>
      </c>
      <c r="H535" s="3">
        <v>3300</v>
      </c>
      <c r="I535" s="10" t="s">
        <v>152</v>
      </c>
      <c r="J535" s="6">
        <v>915767.8</v>
      </c>
      <c r="K535" s="6">
        <f>913820.19+54253.51</f>
        <v>968073.7</v>
      </c>
      <c r="L535" s="14">
        <v>621877.48</v>
      </c>
      <c r="M535" s="23">
        <v>528</v>
      </c>
      <c r="N535" s="7" t="s">
        <v>242</v>
      </c>
      <c r="O535" s="20" t="s">
        <v>245</v>
      </c>
      <c r="P535" s="20" t="s">
        <v>245</v>
      </c>
      <c r="Q535" s="20" t="s">
        <v>245</v>
      </c>
      <c r="R535" s="21">
        <v>42745</v>
      </c>
      <c r="S535" s="22" t="s">
        <v>246</v>
      </c>
      <c r="T535" s="22">
        <v>2016</v>
      </c>
      <c r="U535" s="21">
        <v>42735</v>
      </c>
      <c r="V535" s="22"/>
    </row>
    <row r="536" spans="1:22" ht="19.5" customHeight="1" x14ac:dyDescent="0.3">
      <c r="A536" s="3">
        <v>2016</v>
      </c>
      <c r="B536" s="4">
        <v>42644</v>
      </c>
      <c r="C536" s="3">
        <v>3000</v>
      </c>
      <c r="D536" s="10" t="s">
        <v>153</v>
      </c>
      <c r="E536" s="6">
        <v>562620</v>
      </c>
      <c r="F536" s="6">
        <f>1060296.85+394873.33+10000</f>
        <v>1465170.1800000002</v>
      </c>
      <c r="G536" s="14">
        <v>946043.34999999986</v>
      </c>
      <c r="H536" s="3">
        <v>3300</v>
      </c>
      <c r="I536" s="10" t="s">
        <v>153</v>
      </c>
      <c r="J536" s="6">
        <v>562620</v>
      </c>
      <c r="K536" s="6">
        <f>1060296.85+394873.33+10000</f>
        <v>1465170.1800000002</v>
      </c>
      <c r="L536" s="14">
        <v>946043.34999999986</v>
      </c>
      <c r="M536" s="19">
        <v>529</v>
      </c>
      <c r="N536" s="7" t="s">
        <v>242</v>
      </c>
      <c r="O536" s="20" t="s">
        <v>245</v>
      </c>
      <c r="P536" s="20" t="s">
        <v>245</v>
      </c>
      <c r="Q536" s="20" t="s">
        <v>245</v>
      </c>
      <c r="R536" s="21">
        <v>42745</v>
      </c>
      <c r="S536" s="22" t="s">
        <v>246</v>
      </c>
      <c r="T536" s="22">
        <v>2016</v>
      </c>
      <c r="U536" s="21">
        <v>42735</v>
      </c>
      <c r="V536" s="22"/>
    </row>
    <row r="537" spans="1:22" ht="19.5" customHeight="1" x14ac:dyDescent="0.3">
      <c r="A537" s="3">
        <v>2016</v>
      </c>
      <c r="B537" s="4">
        <v>42644</v>
      </c>
      <c r="C537" s="3">
        <v>3000</v>
      </c>
      <c r="D537" s="10" t="s">
        <v>154</v>
      </c>
      <c r="E537" s="6">
        <v>25024141.940000001</v>
      </c>
      <c r="F537" s="6">
        <f>20903900.29+6597718.95</f>
        <v>27501619.239999998</v>
      </c>
      <c r="G537" s="14">
        <v>25477595.240000002</v>
      </c>
      <c r="H537" s="3">
        <v>3300</v>
      </c>
      <c r="I537" s="10" t="s">
        <v>154</v>
      </c>
      <c r="J537" s="6">
        <v>25024141.940000001</v>
      </c>
      <c r="K537" s="6">
        <f>20903900.29+6597718.95</f>
        <v>27501619.239999998</v>
      </c>
      <c r="L537" s="14">
        <v>25477595.240000002</v>
      </c>
      <c r="M537" s="23">
        <v>530</v>
      </c>
      <c r="N537" s="7" t="s">
        <v>242</v>
      </c>
      <c r="O537" s="20" t="s">
        <v>245</v>
      </c>
      <c r="P537" s="20" t="s">
        <v>245</v>
      </c>
      <c r="Q537" s="20" t="s">
        <v>245</v>
      </c>
      <c r="R537" s="21">
        <v>42745</v>
      </c>
      <c r="S537" s="22" t="s">
        <v>246</v>
      </c>
      <c r="T537" s="22">
        <v>2016</v>
      </c>
      <c r="U537" s="21">
        <v>42735</v>
      </c>
      <c r="V537" s="22"/>
    </row>
    <row r="538" spans="1:22" ht="19.5" customHeight="1" x14ac:dyDescent="0.3">
      <c r="A538" s="3">
        <v>2016</v>
      </c>
      <c r="B538" s="4">
        <v>42644</v>
      </c>
      <c r="C538" s="3">
        <v>3000</v>
      </c>
      <c r="D538" s="10" t="s">
        <v>155</v>
      </c>
      <c r="E538" s="6">
        <v>2141791.66</v>
      </c>
      <c r="F538" s="6">
        <f>2132013.47+328825.2</f>
        <v>2460838.6700000004</v>
      </c>
      <c r="G538" s="14">
        <v>2051620.73</v>
      </c>
      <c r="H538" s="3">
        <v>3300</v>
      </c>
      <c r="I538" s="10" t="s">
        <v>155</v>
      </c>
      <c r="J538" s="6">
        <v>2141791.66</v>
      </c>
      <c r="K538" s="6">
        <f>2132013.47+328825.2</f>
        <v>2460838.6700000004</v>
      </c>
      <c r="L538" s="14">
        <v>2051620.73</v>
      </c>
      <c r="M538" s="19">
        <v>531</v>
      </c>
      <c r="N538" s="7" t="s">
        <v>242</v>
      </c>
      <c r="O538" s="20" t="s">
        <v>245</v>
      </c>
      <c r="P538" s="20" t="s">
        <v>245</v>
      </c>
      <c r="Q538" s="20" t="s">
        <v>245</v>
      </c>
      <c r="R538" s="21">
        <v>42745</v>
      </c>
      <c r="S538" s="22" t="s">
        <v>246</v>
      </c>
      <c r="T538" s="22">
        <v>2016</v>
      </c>
      <c r="U538" s="21">
        <v>42735</v>
      </c>
      <c r="V538" s="22"/>
    </row>
    <row r="539" spans="1:22" ht="19.5" customHeight="1" x14ac:dyDescent="0.3">
      <c r="A539" s="3">
        <v>2016</v>
      </c>
      <c r="B539" s="4">
        <v>42644</v>
      </c>
      <c r="C539" s="3">
        <v>3000</v>
      </c>
      <c r="D539" s="7" t="s">
        <v>156</v>
      </c>
      <c r="E539" s="6">
        <v>15000</v>
      </c>
      <c r="F539" s="6">
        <v>3000</v>
      </c>
      <c r="G539" s="14">
        <v>1696.75</v>
      </c>
      <c r="H539" s="3">
        <v>3400</v>
      </c>
      <c r="I539" s="7" t="s">
        <v>156</v>
      </c>
      <c r="J539" s="6">
        <v>15000</v>
      </c>
      <c r="K539" s="6">
        <v>3000</v>
      </c>
      <c r="L539" s="14">
        <v>1696.75</v>
      </c>
      <c r="M539" s="23">
        <v>532</v>
      </c>
      <c r="N539" s="7" t="s">
        <v>242</v>
      </c>
      <c r="O539" s="20" t="s">
        <v>245</v>
      </c>
      <c r="P539" s="20" t="s">
        <v>245</v>
      </c>
      <c r="Q539" s="20" t="s">
        <v>245</v>
      </c>
      <c r="R539" s="21">
        <v>42745</v>
      </c>
      <c r="S539" s="22" t="s">
        <v>246</v>
      </c>
      <c r="T539" s="22">
        <v>2016</v>
      </c>
      <c r="U539" s="21">
        <v>42735</v>
      </c>
      <c r="V539" s="22"/>
    </row>
    <row r="540" spans="1:22" ht="19.5" customHeight="1" x14ac:dyDescent="0.3">
      <c r="A540" s="3">
        <v>2016</v>
      </c>
      <c r="B540" s="4">
        <v>42644</v>
      </c>
      <c r="C540" s="3">
        <v>3000</v>
      </c>
      <c r="D540" s="10" t="s">
        <v>157</v>
      </c>
      <c r="E540" s="6">
        <v>2502790</v>
      </c>
      <c r="F540" s="6">
        <f>1052790+2790</f>
        <v>1055580</v>
      </c>
      <c r="G540" s="14">
        <v>96857.18</v>
      </c>
      <c r="H540" s="3">
        <v>3400</v>
      </c>
      <c r="I540" s="10" t="s">
        <v>157</v>
      </c>
      <c r="J540" s="6">
        <v>2502790</v>
      </c>
      <c r="K540" s="6">
        <f>1052790+2790</f>
        <v>1055580</v>
      </c>
      <c r="L540" s="14">
        <v>96857.18</v>
      </c>
      <c r="M540" s="19">
        <v>533</v>
      </c>
      <c r="N540" s="7" t="s">
        <v>242</v>
      </c>
      <c r="O540" s="20" t="s">
        <v>245</v>
      </c>
      <c r="P540" s="20" t="s">
        <v>245</v>
      </c>
      <c r="Q540" s="20" t="s">
        <v>245</v>
      </c>
      <c r="R540" s="21">
        <v>42745</v>
      </c>
      <c r="S540" s="22" t="s">
        <v>246</v>
      </c>
      <c r="T540" s="22">
        <v>2016</v>
      </c>
      <c r="U540" s="21">
        <v>42735</v>
      </c>
      <c r="V540" s="22"/>
    </row>
    <row r="541" spans="1:22" ht="19.5" customHeight="1" x14ac:dyDescent="0.3">
      <c r="A541" s="3">
        <v>2016</v>
      </c>
      <c r="B541" s="4">
        <v>42644</v>
      </c>
      <c r="C541" s="3">
        <v>3000</v>
      </c>
      <c r="D541" s="10" t="s">
        <v>159</v>
      </c>
      <c r="E541" s="6">
        <v>155500</v>
      </c>
      <c r="F541" s="6">
        <v>45500</v>
      </c>
      <c r="G541" s="14">
        <v>0</v>
      </c>
      <c r="H541" s="3">
        <v>3400</v>
      </c>
      <c r="I541" s="10" t="s">
        <v>159</v>
      </c>
      <c r="J541" s="6">
        <v>155500</v>
      </c>
      <c r="K541" s="6">
        <v>45500</v>
      </c>
      <c r="L541" s="14">
        <v>0</v>
      </c>
      <c r="M541" s="23">
        <v>534</v>
      </c>
      <c r="N541" s="7" t="s">
        <v>242</v>
      </c>
      <c r="O541" s="20" t="s">
        <v>245</v>
      </c>
      <c r="P541" s="20" t="s">
        <v>245</v>
      </c>
      <c r="Q541" s="20" t="s">
        <v>245</v>
      </c>
      <c r="R541" s="21">
        <v>42745</v>
      </c>
      <c r="S541" s="22" t="s">
        <v>246</v>
      </c>
      <c r="T541" s="22">
        <v>2016</v>
      </c>
      <c r="U541" s="21">
        <v>42735</v>
      </c>
      <c r="V541" s="22"/>
    </row>
    <row r="542" spans="1:22" ht="19.5" customHeight="1" x14ac:dyDescent="0.3">
      <c r="A542" s="3">
        <v>2016</v>
      </c>
      <c r="B542" s="4">
        <v>42644</v>
      </c>
      <c r="C542" s="3">
        <v>3000</v>
      </c>
      <c r="D542" s="10" t="s">
        <v>160</v>
      </c>
      <c r="E542" s="6">
        <v>0</v>
      </c>
      <c r="F542" s="6">
        <f>298307.67+219450</f>
        <v>517757.67</v>
      </c>
      <c r="G542" s="14">
        <v>22411.200000000001</v>
      </c>
      <c r="H542" s="3">
        <v>3500</v>
      </c>
      <c r="I542" s="10" t="s">
        <v>160</v>
      </c>
      <c r="J542" s="6">
        <v>0</v>
      </c>
      <c r="K542" s="6">
        <f>298307.67+219450</f>
        <v>517757.67</v>
      </c>
      <c r="L542" s="14">
        <v>22411.200000000001</v>
      </c>
      <c r="M542" s="19">
        <v>535</v>
      </c>
      <c r="N542" s="7" t="s">
        <v>242</v>
      </c>
      <c r="O542" s="20" t="s">
        <v>245</v>
      </c>
      <c r="P542" s="20" t="s">
        <v>245</v>
      </c>
      <c r="Q542" s="20" t="s">
        <v>245</v>
      </c>
      <c r="R542" s="21">
        <v>42745</v>
      </c>
      <c r="S542" s="22" t="s">
        <v>246</v>
      </c>
      <c r="T542" s="22">
        <v>2016</v>
      </c>
      <c r="U542" s="21">
        <v>42735</v>
      </c>
      <c r="V542" s="22"/>
    </row>
    <row r="543" spans="1:22" ht="19.5" customHeight="1" x14ac:dyDescent="0.3">
      <c r="A543" s="3">
        <v>2016</v>
      </c>
      <c r="B543" s="4">
        <v>42644</v>
      </c>
      <c r="C543" s="3">
        <v>3000</v>
      </c>
      <c r="D543" s="10" t="s">
        <v>161</v>
      </c>
      <c r="E543" s="6">
        <v>141149</v>
      </c>
      <c r="F543" s="6">
        <v>75365.19</v>
      </c>
      <c r="G543" s="14">
        <v>39275.270000000004</v>
      </c>
      <c r="H543" s="3">
        <v>3500</v>
      </c>
      <c r="I543" s="10" t="s">
        <v>161</v>
      </c>
      <c r="J543" s="6">
        <v>141149</v>
      </c>
      <c r="K543" s="6">
        <v>75365.19</v>
      </c>
      <c r="L543" s="14">
        <v>39275.270000000004</v>
      </c>
      <c r="M543" s="23">
        <v>536</v>
      </c>
      <c r="N543" s="7" t="s">
        <v>242</v>
      </c>
      <c r="O543" s="20" t="s">
        <v>245</v>
      </c>
      <c r="P543" s="20" t="s">
        <v>245</v>
      </c>
      <c r="Q543" s="20" t="s">
        <v>245</v>
      </c>
      <c r="R543" s="21">
        <v>42745</v>
      </c>
      <c r="S543" s="22" t="s">
        <v>246</v>
      </c>
      <c r="T543" s="22">
        <v>2016</v>
      </c>
      <c r="U543" s="21">
        <v>42735</v>
      </c>
      <c r="V543" s="22"/>
    </row>
    <row r="544" spans="1:22" ht="19.5" customHeight="1" x14ac:dyDescent="0.3">
      <c r="A544" s="3">
        <v>2016</v>
      </c>
      <c r="B544" s="4">
        <v>42644</v>
      </c>
      <c r="C544" s="3">
        <v>3000</v>
      </c>
      <c r="D544" s="10" t="s">
        <v>162</v>
      </c>
      <c r="E544" s="6">
        <v>6090579.7999999998</v>
      </c>
      <c r="F544" s="6">
        <f>4013400+73443.08</f>
        <v>4086843.08</v>
      </c>
      <c r="G544" s="14">
        <v>3820353.86</v>
      </c>
      <c r="H544" s="3">
        <v>3500</v>
      </c>
      <c r="I544" s="10" t="s">
        <v>162</v>
      </c>
      <c r="J544" s="6">
        <v>6090579.7999999998</v>
      </c>
      <c r="K544" s="6">
        <f>4013400+73443.08</f>
        <v>4086843.08</v>
      </c>
      <c r="L544" s="14">
        <v>3820353.86</v>
      </c>
      <c r="M544" s="19">
        <v>537</v>
      </c>
      <c r="N544" s="7" t="s">
        <v>242</v>
      </c>
      <c r="O544" s="20" t="s">
        <v>245</v>
      </c>
      <c r="P544" s="20" t="s">
        <v>245</v>
      </c>
      <c r="Q544" s="20" t="s">
        <v>245</v>
      </c>
      <c r="R544" s="21">
        <v>42745</v>
      </c>
      <c r="S544" s="22" t="s">
        <v>246</v>
      </c>
      <c r="T544" s="22">
        <v>2016</v>
      </c>
      <c r="U544" s="21">
        <v>42735</v>
      </c>
      <c r="V544" s="22"/>
    </row>
    <row r="545" spans="1:22" ht="19.5" customHeight="1" x14ac:dyDescent="0.3">
      <c r="A545" s="3">
        <v>2016</v>
      </c>
      <c r="B545" s="4">
        <v>42644</v>
      </c>
      <c r="C545" s="3">
        <v>3000</v>
      </c>
      <c r="D545" s="10" t="s">
        <v>163</v>
      </c>
      <c r="E545" s="6">
        <v>5000</v>
      </c>
      <c r="F545" s="6">
        <f>160286.25+808446.04</f>
        <v>968732.29</v>
      </c>
      <c r="G545" s="14">
        <v>816753.89999999991</v>
      </c>
      <c r="H545" s="3">
        <v>3500</v>
      </c>
      <c r="I545" s="10" t="s">
        <v>163</v>
      </c>
      <c r="J545" s="6">
        <v>5000</v>
      </c>
      <c r="K545" s="6">
        <f>160286.25+808446.04</f>
        <v>968732.29</v>
      </c>
      <c r="L545" s="14">
        <v>816753.89999999991</v>
      </c>
      <c r="M545" s="23">
        <v>538</v>
      </c>
      <c r="N545" s="7" t="s">
        <v>242</v>
      </c>
      <c r="O545" s="20" t="s">
        <v>245</v>
      </c>
      <c r="P545" s="20" t="s">
        <v>245</v>
      </c>
      <c r="Q545" s="20" t="s">
        <v>245</v>
      </c>
      <c r="R545" s="21">
        <v>42745</v>
      </c>
      <c r="S545" s="22" t="s">
        <v>246</v>
      </c>
      <c r="T545" s="22">
        <v>2016</v>
      </c>
      <c r="U545" s="21">
        <v>42735</v>
      </c>
      <c r="V545" s="22"/>
    </row>
    <row r="546" spans="1:22" ht="19.5" customHeight="1" x14ac:dyDescent="0.3">
      <c r="A546" s="3">
        <v>2016</v>
      </c>
      <c r="B546" s="4">
        <v>42644</v>
      </c>
      <c r="C546" s="3">
        <v>3000</v>
      </c>
      <c r="D546" s="10" t="s">
        <v>229</v>
      </c>
      <c r="E546" s="6">
        <v>0</v>
      </c>
      <c r="F546" s="6">
        <v>1943</v>
      </c>
      <c r="G546" s="14">
        <v>1943</v>
      </c>
      <c r="H546" s="3">
        <v>3500</v>
      </c>
      <c r="I546" s="10" t="s">
        <v>229</v>
      </c>
      <c r="J546" s="6">
        <v>0</v>
      </c>
      <c r="K546" s="6">
        <v>1943</v>
      </c>
      <c r="L546" s="14">
        <v>1943</v>
      </c>
      <c r="M546" s="19">
        <v>539</v>
      </c>
      <c r="N546" s="7" t="s">
        <v>242</v>
      </c>
      <c r="O546" s="20" t="s">
        <v>245</v>
      </c>
      <c r="P546" s="20" t="s">
        <v>245</v>
      </c>
      <c r="Q546" s="20" t="s">
        <v>245</v>
      </c>
      <c r="R546" s="21">
        <v>42745</v>
      </c>
      <c r="S546" s="22" t="s">
        <v>246</v>
      </c>
      <c r="T546" s="22">
        <v>2016</v>
      </c>
      <c r="U546" s="21">
        <v>42735</v>
      </c>
      <c r="V546" s="22"/>
    </row>
    <row r="547" spans="1:22" ht="19.5" customHeight="1" x14ac:dyDescent="0.3">
      <c r="A547" s="3">
        <v>2016</v>
      </c>
      <c r="B547" s="4">
        <v>42644</v>
      </c>
      <c r="C547" s="3">
        <v>3000</v>
      </c>
      <c r="D547" s="10" t="s">
        <v>164</v>
      </c>
      <c r="E547" s="6">
        <v>460416.67</v>
      </c>
      <c r="F547" s="6">
        <f>460416.67+27724</f>
        <v>488140.67</v>
      </c>
      <c r="G547" s="14">
        <v>416597.99</v>
      </c>
      <c r="H547" s="3">
        <v>3500</v>
      </c>
      <c r="I547" s="10" t="s">
        <v>164</v>
      </c>
      <c r="J547" s="6">
        <v>460416.67</v>
      </c>
      <c r="K547" s="6">
        <f>460416.67+27724</f>
        <v>488140.67</v>
      </c>
      <c r="L547" s="14">
        <v>416597.99</v>
      </c>
      <c r="M547" s="23">
        <v>540</v>
      </c>
      <c r="N547" s="7" t="s">
        <v>242</v>
      </c>
      <c r="O547" s="20" t="s">
        <v>245</v>
      </c>
      <c r="P547" s="20" t="s">
        <v>245</v>
      </c>
      <c r="Q547" s="20" t="s">
        <v>245</v>
      </c>
      <c r="R547" s="21">
        <v>42745</v>
      </c>
      <c r="S547" s="22" t="s">
        <v>246</v>
      </c>
      <c r="T547" s="22">
        <v>2016</v>
      </c>
      <c r="U547" s="21">
        <v>42735</v>
      </c>
      <c r="V547" s="22"/>
    </row>
    <row r="548" spans="1:22" ht="19.5" customHeight="1" x14ac:dyDescent="0.3">
      <c r="A548" s="3">
        <v>2016</v>
      </c>
      <c r="B548" s="4">
        <v>42644</v>
      </c>
      <c r="C548" s="3">
        <v>3000</v>
      </c>
      <c r="D548" s="10" t="s">
        <v>165</v>
      </c>
      <c r="E548" s="6">
        <v>395000</v>
      </c>
      <c r="F548" s="6">
        <f>357782+188573.08</f>
        <v>546355.07999999996</v>
      </c>
      <c r="G548" s="14">
        <v>513291.6</v>
      </c>
      <c r="H548" s="3">
        <v>3500</v>
      </c>
      <c r="I548" s="10" t="s">
        <v>165</v>
      </c>
      <c r="J548" s="6">
        <v>395000</v>
      </c>
      <c r="K548" s="6">
        <f>357782+188573.08</f>
        <v>546355.07999999996</v>
      </c>
      <c r="L548" s="14">
        <v>513291.6</v>
      </c>
      <c r="M548" s="19">
        <v>541</v>
      </c>
      <c r="N548" s="7" t="s">
        <v>242</v>
      </c>
      <c r="O548" s="20" t="s">
        <v>245</v>
      </c>
      <c r="P548" s="20" t="s">
        <v>245</v>
      </c>
      <c r="Q548" s="20" t="s">
        <v>245</v>
      </c>
      <c r="R548" s="21">
        <v>42745</v>
      </c>
      <c r="S548" s="22" t="s">
        <v>246</v>
      </c>
      <c r="T548" s="22">
        <v>2016</v>
      </c>
      <c r="U548" s="21">
        <v>42735</v>
      </c>
      <c r="V548" s="22"/>
    </row>
    <row r="549" spans="1:22" ht="19.5" customHeight="1" x14ac:dyDescent="0.3">
      <c r="A549" s="3">
        <v>2016</v>
      </c>
      <c r="B549" s="4">
        <v>42644</v>
      </c>
      <c r="C549" s="3">
        <v>3000</v>
      </c>
      <c r="D549" s="10" t="s">
        <v>166</v>
      </c>
      <c r="E549" s="6">
        <v>863783.84</v>
      </c>
      <c r="F549" s="6">
        <f>2922268.62+1828198.49</f>
        <v>4750467.1100000003</v>
      </c>
      <c r="G549" s="14">
        <v>2806231.4699999997</v>
      </c>
      <c r="H549" s="3">
        <v>3500</v>
      </c>
      <c r="I549" s="10" t="s">
        <v>166</v>
      </c>
      <c r="J549" s="6">
        <v>863783.84</v>
      </c>
      <c r="K549" s="6">
        <f>2922268.62+1828198.49</f>
        <v>4750467.1100000003</v>
      </c>
      <c r="L549" s="14">
        <v>2806231.4699999997</v>
      </c>
      <c r="M549" s="23">
        <v>542</v>
      </c>
      <c r="N549" s="7" t="s">
        <v>242</v>
      </c>
      <c r="O549" s="20" t="s">
        <v>245</v>
      </c>
      <c r="P549" s="20" t="s">
        <v>245</v>
      </c>
      <c r="Q549" s="20" t="s">
        <v>245</v>
      </c>
      <c r="R549" s="21">
        <v>42745</v>
      </c>
      <c r="S549" s="22" t="s">
        <v>246</v>
      </c>
      <c r="T549" s="22">
        <v>2016</v>
      </c>
      <c r="U549" s="21">
        <v>42735</v>
      </c>
      <c r="V549" s="22"/>
    </row>
    <row r="550" spans="1:22" ht="19.5" customHeight="1" x14ac:dyDescent="0.3">
      <c r="A550" s="3">
        <v>2016</v>
      </c>
      <c r="B550" s="4">
        <v>42644</v>
      </c>
      <c r="C550" s="3">
        <v>3000</v>
      </c>
      <c r="D550" s="10" t="s">
        <v>167</v>
      </c>
      <c r="E550" s="6">
        <v>124128</v>
      </c>
      <c r="F550" s="6">
        <f>124128+115599.8</f>
        <v>239727.8</v>
      </c>
      <c r="G550" s="14">
        <v>137871.79999999999</v>
      </c>
      <c r="H550" s="3">
        <v>3500</v>
      </c>
      <c r="I550" s="10" t="s">
        <v>167</v>
      </c>
      <c r="J550" s="6">
        <v>124128</v>
      </c>
      <c r="K550" s="6">
        <f>124128+115599.8</f>
        <v>239727.8</v>
      </c>
      <c r="L550" s="14">
        <v>137871.79999999999</v>
      </c>
      <c r="M550" s="19">
        <v>543</v>
      </c>
      <c r="N550" s="7" t="s">
        <v>242</v>
      </c>
      <c r="O550" s="20" t="s">
        <v>245</v>
      </c>
      <c r="P550" s="20" t="s">
        <v>245</v>
      </c>
      <c r="Q550" s="20" t="s">
        <v>245</v>
      </c>
      <c r="R550" s="21">
        <v>42745</v>
      </c>
      <c r="S550" s="22" t="s">
        <v>246</v>
      </c>
      <c r="T550" s="22">
        <v>2016</v>
      </c>
      <c r="U550" s="21">
        <v>42735</v>
      </c>
      <c r="V550" s="22"/>
    </row>
    <row r="551" spans="1:22" ht="19.5" customHeight="1" x14ac:dyDescent="0.3">
      <c r="A551" s="3">
        <v>2016</v>
      </c>
      <c r="B551" s="4">
        <v>42644</v>
      </c>
      <c r="C551" s="3">
        <v>3000</v>
      </c>
      <c r="D551" s="10" t="s">
        <v>168</v>
      </c>
      <c r="E551" s="6">
        <v>239163.2</v>
      </c>
      <c r="F551" s="6">
        <f>356203.99+48284.2</f>
        <v>404488.19</v>
      </c>
      <c r="G551" s="14">
        <v>244150</v>
      </c>
      <c r="H551" s="3">
        <v>3500</v>
      </c>
      <c r="I551" s="10" t="s">
        <v>168</v>
      </c>
      <c r="J551" s="6">
        <v>239163.2</v>
      </c>
      <c r="K551" s="6">
        <f>356203.99+48284.2</f>
        <v>404488.19</v>
      </c>
      <c r="L551" s="14">
        <v>244150</v>
      </c>
      <c r="M551" s="23">
        <v>544</v>
      </c>
      <c r="N551" s="7" t="s">
        <v>242</v>
      </c>
      <c r="O551" s="20" t="s">
        <v>245</v>
      </c>
      <c r="P551" s="20" t="s">
        <v>245</v>
      </c>
      <c r="Q551" s="20" t="s">
        <v>245</v>
      </c>
      <c r="R551" s="21">
        <v>42745</v>
      </c>
      <c r="S551" s="22" t="s">
        <v>246</v>
      </c>
      <c r="T551" s="22">
        <v>2016</v>
      </c>
      <c r="U551" s="21">
        <v>42735</v>
      </c>
      <c r="V551" s="22"/>
    </row>
    <row r="552" spans="1:22" ht="19.5" customHeight="1" x14ac:dyDescent="0.3">
      <c r="A552" s="3">
        <v>2016</v>
      </c>
      <c r="B552" s="4">
        <v>42644</v>
      </c>
      <c r="C552" s="3">
        <v>3000</v>
      </c>
      <c r="D552" s="12" t="s">
        <v>169</v>
      </c>
      <c r="E552" s="6">
        <v>5335410</v>
      </c>
      <c r="F552" s="6">
        <f>5135594.12+54741.59</f>
        <v>5190335.71</v>
      </c>
      <c r="G552" s="14">
        <v>4917489.7200000007</v>
      </c>
      <c r="H552" s="3">
        <v>3600</v>
      </c>
      <c r="I552" s="12" t="s">
        <v>169</v>
      </c>
      <c r="J552" s="6">
        <v>5335410</v>
      </c>
      <c r="K552" s="6">
        <f>5135594.12+54741.59</f>
        <v>5190335.71</v>
      </c>
      <c r="L552" s="14">
        <v>4917489.7200000007</v>
      </c>
      <c r="M552" s="19">
        <v>545</v>
      </c>
      <c r="N552" s="7" t="s">
        <v>242</v>
      </c>
      <c r="O552" s="20" t="s">
        <v>245</v>
      </c>
      <c r="P552" s="20" t="s">
        <v>245</v>
      </c>
      <c r="Q552" s="20" t="s">
        <v>245</v>
      </c>
      <c r="R552" s="21">
        <v>42745</v>
      </c>
      <c r="S552" s="22" t="s">
        <v>246</v>
      </c>
      <c r="T552" s="22">
        <v>2016</v>
      </c>
      <c r="U552" s="21">
        <v>42735</v>
      </c>
      <c r="V552" s="22"/>
    </row>
    <row r="553" spans="1:22" ht="19.5" customHeight="1" x14ac:dyDescent="0.3">
      <c r="A553" s="3">
        <v>2016</v>
      </c>
      <c r="B553" s="4">
        <v>42644</v>
      </c>
      <c r="C553" s="3">
        <v>3000</v>
      </c>
      <c r="D553" s="7" t="s">
        <v>222</v>
      </c>
      <c r="E553" s="6">
        <v>0</v>
      </c>
      <c r="F553" s="6">
        <v>0</v>
      </c>
      <c r="G553" s="14">
        <v>0</v>
      </c>
      <c r="H553" s="3">
        <v>3600</v>
      </c>
      <c r="I553" s="7" t="s">
        <v>222</v>
      </c>
      <c r="J553" s="6">
        <v>0</v>
      </c>
      <c r="K553" s="6">
        <v>0</v>
      </c>
      <c r="L553" s="14">
        <v>0</v>
      </c>
      <c r="M553" s="23">
        <v>546</v>
      </c>
      <c r="N553" s="7" t="s">
        <v>242</v>
      </c>
      <c r="O553" s="20" t="s">
        <v>245</v>
      </c>
      <c r="P553" s="20" t="s">
        <v>245</v>
      </c>
      <c r="Q553" s="20" t="s">
        <v>245</v>
      </c>
      <c r="R553" s="21">
        <v>42745</v>
      </c>
      <c r="S553" s="22" t="s">
        <v>246</v>
      </c>
      <c r="T553" s="22">
        <v>2016</v>
      </c>
      <c r="U553" s="21">
        <v>42735</v>
      </c>
      <c r="V553" s="22"/>
    </row>
    <row r="554" spans="1:22" ht="19.5" customHeight="1" x14ac:dyDescent="0.3">
      <c r="A554" s="3">
        <v>2016</v>
      </c>
      <c r="B554" s="4">
        <v>42644</v>
      </c>
      <c r="C554" s="3">
        <v>3000</v>
      </c>
      <c r="D554" s="7" t="s">
        <v>170</v>
      </c>
      <c r="E554" s="6">
        <v>84000</v>
      </c>
      <c r="F554" s="6">
        <v>75584.800000000003</v>
      </c>
      <c r="G554" s="14">
        <v>40144.120000000003</v>
      </c>
      <c r="H554" s="3">
        <v>3600</v>
      </c>
      <c r="I554" s="7" t="s">
        <v>170</v>
      </c>
      <c r="J554" s="6">
        <v>84000</v>
      </c>
      <c r="K554" s="6">
        <v>75584.800000000003</v>
      </c>
      <c r="L554" s="14">
        <v>40144.120000000003</v>
      </c>
      <c r="M554" s="19">
        <v>547</v>
      </c>
      <c r="N554" s="7" t="s">
        <v>242</v>
      </c>
      <c r="O554" s="20" t="s">
        <v>245</v>
      </c>
      <c r="P554" s="20" t="s">
        <v>245</v>
      </c>
      <c r="Q554" s="20" t="s">
        <v>245</v>
      </c>
      <c r="R554" s="21">
        <v>42745</v>
      </c>
      <c r="S554" s="22" t="s">
        <v>246</v>
      </c>
      <c r="T554" s="22">
        <v>2016</v>
      </c>
      <c r="U554" s="21">
        <v>42735</v>
      </c>
      <c r="V554" s="22"/>
    </row>
    <row r="555" spans="1:22" ht="19.5" customHeight="1" x14ac:dyDescent="0.3">
      <c r="A555" s="3">
        <v>2016</v>
      </c>
      <c r="B555" s="4">
        <v>42644</v>
      </c>
      <c r="C555" s="3">
        <v>3000</v>
      </c>
      <c r="D555" s="10" t="s">
        <v>171</v>
      </c>
      <c r="E555" s="6">
        <v>118008</v>
      </c>
      <c r="F555" s="6">
        <v>29240.01</v>
      </c>
      <c r="G555" s="14">
        <v>25040.010000000002</v>
      </c>
      <c r="H555" s="3">
        <v>3600</v>
      </c>
      <c r="I555" s="10" t="s">
        <v>171</v>
      </c>
      <c r="J555" s="6">
        <v>118008</v>
      </c>
      <c r="K555" s="6">
        <v>29240.01</v>
      </c>
      <c r="L555" s="14">
        <v>25040.010000000002</v>
      </c>
      <c r="M555" s="23">
        <v>548</v>
      </c>
      <c r="N555" s="7" t="s">
        <v>242</v>
      </c>
      <c r="O555" s="20" t="s">
        <v>245</v>
      </c>
      <c r="P555" s="20" t="s">
        <v>245</v>
      </c>
      <c r="Q555" s="20" t="s">
        <v>245</v>
      </c>
      <c r="R555" s="21">
        <v>42745</v>
      </c>
      <c r="S555" s="22" t="s">
        <v>246</v>
      </c>
      <c r="T555" s="22">
        <v>2016</v>
      </c>
      <c r="U555" s="21">
        <v>42735</v>
      </c>
      <c r="V555" s="22"/>
    </row>
    <row r="556" spans="1:22" ht="19.5" customHeight="1" x14ac:dyDescent="0.3">
      <c r="A556" s="3">
        <v>2016</v>
      </c>
      <c r="B556" s="4">
        <v>42644</v>
      </c>
      <c r="C556" s="3">
        <v>3000</v>
      </c>
      <c r="D556" s="7" t="s">
        <v>172</v>
      </c>
      <c r="E556" s="6">
        <v>1000</v>
      </c>
      <c r="F556" s="6">
        <v>216920</v>
      </c>
      <c r="G556" s="14">
        <v>216920</v>
      </c>
      <c r="H556" s="3">
        <v>3600</v>
      </c>
      <c r="I556" s="7" t="s">
        <v>172</v>
      </c>
      <c r="J556" s="6">
        <v>1000</v>
      </c>
      <c r="K556" s="6">
        <v>216920</v>
      </c>
      <c r="L556" s="14">
        <v>216920</v>
      </c>
      <c r="M556" s="19">
        <v>549</v>
      </c>
      <c r="N556" s="7" t="s">
        <v>242</v>
      </c>
      <c r="O556" s="20" t="s">
        <v>245</v>
      </c>
      <c r="P556" s="20" t="s">
        <v>245</v>
      </c>
      <c r="Q556" s="20" t="s">
        <v>245</v>
      </c>
      <c r="R556" s="21">
        <v>42745</v>
      </c>
      <c r="S556" s="22" t="s">
        <v>246</v>
      </c>
      <c r="T556" s="22">
        <v>2016</v>
      </c>
      <c r="U556" s="21">
        <v>42735</v>
      </c>
      <c r="V556" s="22"/>
    </row>
    <row r="557" spans="1:22" ht="19.5" customHeight="1" x14ac:dyDescent="0.3">
      <c r="A557" s="3">
        <v>2016</v>
      </c>
      <c r="B557" s="4">
        <v>42644</v>
      </c>
      <c r="C557" s="3">
        <v>3000</v>
      </c>
      <c r="D557" s="10" t="s">
        <v>173</v>
      </c>
      <c r="E557" s="6">
        <v>324100</v>
      </c>
      <c r="F557" s="6">
        <f>214024.16+5397</f>
        <v>219421.16</v>
      </c>
      <c r="G557" s="14">
        <v>68207.070000000007</v>
      </c>
      <c r="H557" s="3">
        <v>3700</v>
      </c>
      <c r="I557" s="10" t="s">
        <v>173</v>
      </c>
      <c r="J557" s="6">
        <v>324100</v>
      </c>
      <c r="K557" s="6">
        <f>214024.16+5397</f>
        <v>219421.16</v>
      </c>
      <c r="L557" s="14">
        <v>68207.070000000007</v>
      </c>
      <c r="M557" s="23">
        <v>550</v>
      </c>
      <c r="N557" s="7" t="s">
        <v>242</v>
      </c>
      <c r="O557" s="20" t="s">
        <v>245</v>
      </c>
      <c r="P557" s="20" t="s">
        <v>245</v>
      </c>
      <c r="Q557" s="20" t="s">
        <v>245</v>
      </c>
      <c r="R557" s="21">
        <v>42745</v>
      </c>
      <c r="S557" s="22" t="s">
        <v>246</v>
      </c>
      <c r="T557" s="22">
        <v>2016</v>
      </c>
      <c r="U557" s="21">
        <v>42735</v>
      </c>
      <c r="V557" s="22"/>
    </row>
    <row r="558" spans="1:22" ht="19.5" customHeight="1" x14ac:dyDescent="0.3">
      <c r="A558" s="3">
        <v>2016</v>
      </c>
      <c r="B558" s="4">
        <v>42644</v>
      </c>
      <c r="C558" s="3">
        <v>3000</v>
      </c>
      <c r="D558" s="10" t="s">
        <v>174</v>
      </c>
      <c r="E558" s="6">
        <v>414840</v>
      </c>
      <c r="F558" s="6">
        <f>552831.33+22352.39</f>
        <v>575183.72</v>
      </c>
      <c r="G558" s="14">
        <v>388239.85</v>
      </c>
      <c r="H558" s="3">
        <v>3700</v>
      </c>
      <c r="I558" s="10" t="s">
        <v>174</v>
      </c>
      <c r="J558" s="6">
        <v>414840</v>
      </c>
      <c r="K558" s="6">
        <f>552831.33+22352.39</f>
        <v>575183.72</v>
      </c>
      <c r="L558" s="14">
        <v>388239.85</v>
      </c>
      <c r="M558" s="19">
        <v>551</v>
      </c>
      <c r="N558" s="7" t="s">
        <v>242</v>
      </c>
      <c r="O558" s="20" t="s">
        <v>245</v>
      </c>
      <c r="P558" s="20" t="s">
        <v>245</v>
      </c>
      <c r="Q558" s="20" t="s">
        <v>245</v>
      </c>
      <c r="R558" s="21">
        <v>42745</v>
      </c>
      <c r="S558" s="22" t="s">
        <v>246</v>
      </c>
      <c r="T558" s="22">
        <v>2016</v>
      </c>
      <c r="U558" s="21">
        <v>42735</v>
      </c>
      <c r="V558" s="22"/>
    </row>
    <row r="559" spans="1:22" ht="19.5" customHeight="1" x14ac:dyDescent="0.3">
      <c r="A559" s="3">
        <v>2016</v>
      </c>
      <c r="B559" s="4">
        <v>42644</v>
      </c>
      <c r="C559" s="3">
        <v>3000</v>
      </c>
      <c r="D559" s="10" t="s">
        <v>175</v>
      </c>
      <c r="E559" s="6">
        <v>59300</v>
      </c>
      <c r="F559" s="6">
        <v>57418.67</v>
      </c>
      <c r="G559" s="14">
        <v>11614.5</v>
      </c>
      <c r="H559" s="3">
        <v>3700</v>
      </c>
      <c r="I559" s="10" t="s">
        <v>175</v>
      </c>
      <c r="J559" s="6">
        <v>59300</v>
      </c>
      <c r="K559" s="6">
        <v>57418.67</v>
      </c>
      <c r="L559" s="14">
        <v>11614.5</v>
      </c>
      <c r="M559" s="23">
        <v>552</v>
      </c>
      <c r="N559" s="7" t="s">
        <v>242</v>
      </c>
      <c r="O559" s="20" t="s">
        <v>245</v>
      </c>
      <c r="P559" s="20" t="s">
        <v>245</v>
      </c>
      <c r="Q559" s="20" t="s">
        <v>245</v>
      </c>
      <c r="R559" s="21">
        <v>42745</v>
      </c>
      <c r="S559" s="22" t="s">
        <v>246</v>
      </c>
      <c r="T559" s="22">
        <v>2016</v>
      </c>
      <c r="U559" s="21">
        <v>42735</v>
      </c>
      <c r="V559" s="22"/>
    </row>
    <row r="560" spans="1:22" ht="19.5" customHeight="1" x14ac:dyDescent="0.3">
      <c r="A560" s="3">
        <v>2016</v>
      </c>
      <c r="B560" s="4">
        <v>42644</v>
      </c>
      <c r="C560" s="3">
        <v>3000</v>
      </c>
      <c r="D560" s="10" t="s">
        <v>176</v>
      </c>
      <c r="E560" s="6">
        <v>45600</v>
      </c>
      <c r="F560" s="6">
        <v>127803.87</v>
      </c>
      <c r="G560" s="14">
        <v>66748.989999999991</v>
      </c>
      <c r="H560" s="3">
        <v>3700</v>
      </c>
      <c r="I560" s="10" t="s">
        <v>176</v>
      </c>
      <c r="J560" s="6">
        <v>45600</v>
      </c>
      <c r="K560" s="6">
        <v>127803.87</v>
      </c>
      <c r="L560" s="14">
        <v>66748.989999999991</v>
      </c>
      <c r="M560" s="19">
        <v>553</v>
      </c>
      <c r="N560" s="7" t="s">
        <v>242</v>
      </c>
      <c r="O560" s="20" t="s">
        <v>245</v>
      </c>
      <c r="P560" s="20" t="s">
        <v>245</v>
      </c>
      <c r="Q560" s="20" t="s">
        <v>245</v>
      </c>
      <c r="R560" s="21">
        <v>42745</v>
      </c>
      <c r="S560" s="22" t="s">
        <v>246</v>
      </c>
      <c r="T560" s="22">
        <v>2016</v>
      </c>
      <c r="U560" s="21">
        <v>42735</v>
      </c>
      <c r="V560" s="22"/>
    </row>
    <row r="561" spans="1:22" ht="19.5" customHeight="1" x14ac:dyDescent="0.3">
      <c r="A561" s="3">
        <v>2016</v>
      </c>
      <c r="B561" s="4">
        <v>42644</v>
      </c>
      <c r="C561" s="3">
        <v>3000</v>
      </c>
      <c r="D561" s="7" t="s">
        <v>177</v>
      </c>
      <c r="E561" s="6">
        <v>104337.60000000001</v>
      </c>
      <c r="F561" s="6">
        <v>14337.6</v>
      </c>
      <c r="G561" s="14">
        <v>12554.5</v>
      </c>
      <c r="H561" s="3">
        <v>3700</v>
      </c>
      <c r="I561" s="7" t="s">
        <v>177</v>
      </c>
      <c r="J561" s="6">
        <v>104337.60000000001</v>
      </c>
      <c r="K561" s="6">
        <v>14337.6</v>
      </c>
      <c r="L561" s="14">
        <v>12554.5</v>
      </c>
      <c r="M561" s="23">
        <v>554</v>
      </c>
      <c r="N561" s="7" t="s">
        <v>242</v>
      </c>
      <c r="O561" s="20" t="s">
        <v>245</v>
      </c>
      <c r="P561" s="20" t="s">
        <v>245</v>
      </c>
      <c r="Q561" s="20" t="s">
        <v>245</v>
      </c>
      <c r="R561" s="21">
        <v>42745</v>
      </c>
      <c r="S561" s="22" t="s">
        <v>246</v>
      </c>
      <c r="T561" s="22">
        <v>2016</v>
      </c>
      <c r="U561" s="21">
        <v>42735</v>
      </c>
      <c r="V561" s="22"/>
    </row>
    <row r="562" spans="1:22" ht="19.5" customHeight="1" x14ac:dyDescent="0.3">
      <c r="A562" s="3">
        <v>2016</v>
      </c>
      <c r="B562" s="4">
        <v>42644</v>
      </c>
      <c r="C562" s="3">
        <v>3000</v>
      </c>
      <c r="D562" s="7" t="s">
        <v>178</v>
      </c>
      <c r="E562" s="6">
        <v>2000</v>
      </c>
      <c r="F562" s="6">
        <v>0</v>
      </c>
      <c r="G562" s="14">
        <v>0</v>
      </c>
      <c r="H562" s="3">
        <v>3700</v>
      </c>
      <c r="I562" s="7" t="s">
        <v>178</v>
      </c>
      <c r="J562" s="6">
        <v>2000</v>
      </c>
      <c r="K562" s="6">
        <v>0</v>
      </c>
      <c r="L562" s="14">
        <v>0</v>
      </c>
      <c r="M562" s="19">
        <v>555</v>
      </c>
      <c r="N562" s="7" t="s">
        <v>242</v>
      </c>
      <c r="O562" s="20" t="s">
        <v>245</v>
      </c>
      <c r="P562" s="20" t="s">
        <v>245</v>
      </c>
      <c r="Q562" s="20" t="s">
        <v>245</v>
      </c>
      <c r="R562" s="21">
        <v>42745</v>
      </c>
      <c r="S562" s="22" t="s">
        <v>246</v>
      </c>
      <c r="T562" s="22">
        <v>2016</v>
      </c>
      <c r="U562" s="21">
        <v>42735</v>
      </c>
      <c r="V562" s="22"/>
    </row>
    <row r="563" spans="1:22" ht="19.5" customHeight="1" x14ac:dyDescent="0.3">
      <c r="A563" s="3">
        <v>2016</v>
      </c>
      <c r="B563" s="4">
        <v>42644</v>
      </c>
      <c r="C563" s="3">
        <v>3000</v>
      </c>
      <c r="D563" s="10" t="s">
        <v>179</v>
      </c>
      <c r="E563" s="6">
        <v>710243.33</v>
      </c>
      <c r="F563" s="6">
        <f>594826.2+14619.98</f>
        <v>609446.17999999993</v>
      </c>
      <c r="G563" s="14">
        <v>199051.24000000002</v>
      </c>
      <c r="H563" s="3">
        <v>3700</v>
      </c>
      <c r="I563" s="10" t="s">
        <v>179</v>
      </c>
      <c r="J563" s="6">
        <v>710243.33</v>
      </c>
      <c r="K563" s="6">
        <f>594826.2+14619.98</f>
        <v>609446.17999999993</v>
      </c>
      <c r="L563" s="14">
        <v>199051.24000000002</v>
      </c>
      <c r="M563" s="23">
        <v>556</v>
      </c>
      <c r="N563" s="7" t="s">
        <v>242</v>
      </c>
      <c r="O563" s="20" t="s">
        <v>245</v>
      </c>
      <c r="P563" s="20" t="s">
        <v>245</v>
      </c>
      <c r="Q563" s="20" t="s">
        <v>245</v>
      </c>
      <c r="R563" s="21">
        <v>42745</v>
      </c>
      <c r="S563" s="22" t="s">
        <v>246</v>
      </c>
      <c r="T563" s="22">
        <v>2016</v>
      </c>
      <c r="U563" s="21">
        <v>42735</v>
      </c>
      <c r="V563" s="22"/>
    </row>
    <row r="564" spans="1:22" ht="19.5" customHeight="1" x14ac:dyDescent="0.3">
      <c r="A564" s="3">
        <v>2016</v>
      </c>
      <c r="B564" s="4">
        <v>42644</v>
      </c>
      <c r="C564" s="3">
        <v>3000</v>
      </c>
      <c r="D564" s="10" t="s">
        <v>180</v>
      </c>
      <c r="E564" s="6">
        <v>435500</v>
      </c>
      <c r="F564" s="6">
        <f>444664.13+10271.82</f>
        <v>454935.95</v>
      </c>
      <c r="G564" s="14">
        <v>112348.45999999999</v>
      </c>
      <c r="H564" s="3">
        <v>3700</v>
      </c>
      <c r="I564" s="10" t="s">
        <v>180</v>
      </c>
      <c r="J564" s="6">
        <v>435500</v>
      </c>
      <c r="K564" s="6">
        <f>444664.13+10271.82</f>
        <v>454935.95</v>
      </c>
      <c r="L564" s="14">
        <v>112348.45999999999</v>
      </c>
      <c r="M564" s="19">
        <v>557</v>
      </c>
      <c r="N564" s="7" t="s">
        <v>242</v>
      </c>
      <c r="O564" s="20" t="s">
        <v>245</v>
      </c>
      <c r="P564" s="20" t="s">
        <v>245</v>
      </c>
      <c r="Q564" s="20" t="s">
        <v>245</v>
      </c>
      <c r="R564" s="21">
        <v>42745</v>
      </c>
      <c r="S564" s="22" t="s">
        <v>246</v>
      </c>
      <c r="T564" s="22">
        <v>2016</v>
      </c>
      <c r="U564" s="21">
        <v>42735</v>
      </c>
      <c r="V564" s="22"/>
    </row>
    <row r="565" spans="1:22" ht="19.5" customHeight="1" x14ac:dyDescent="0.3">
      <c r="A565" s="3">
        <v>2016</v>
      </c>
      <c r="B565" s="4">
        <v>42644</v>
      </c>
      <c r="C565" s="3">
        <v>3000</v>
      </c>
      <c r="D565" s="7" t="s">
        <v>181</v>
      </c>
      <c r="E565" s="6">
        <v>30000</v>
      </c>
      <c r="F565" s="6">
        <v>210589.5</v>
      </c>
      <c r="G565" s="14">
        <v>0</v>
      </c>
      <c r="H565" s="3">
        <v>3700</v>
      </c>
      <c r="I565" s="7" t="s">
        <v>181</v>
      </c>
      <c r="J565" s="6">
        <v>30000</v>
      </c>
      <c r="K565" s="6">
        <v>210589.5</v>
      </c>
      <c r="L565" s="14">
        <v>0</v>
      </c>
      <c r="M565" s="23">
        <v>558</v>
      </c>
      <c r="N565" s="7" t="s">
        <v>242</v>
      </c>
      <c r="O565" s="20" t="s">
        <v>245</v>
      </c>
      <c r="P565" s="20" t="s">
        <v>245</v>
      </c>
      <c r="Q565" s="20" t="s">
        <v>245</v>
      </c>
      <c r="R565" s="21">
        <v>42745</v>
      </c>
      <c r="S565" s="22" t="s">
        <v>246</v>
      </c>
      <c r="T565" s="22">
        <v>2016</v>
      </c>
      <c r="U565" s="21">
        <v>42735</v>
      </c>
      <c r="V565" s="22"/>
    </row>
    <row r="566" spans="1:22" ht="19.5" customHeight="1" x14ac:dyDescent="0.3">
      <c r="A566" s="3">
        <v>2016</v>
      </c>
      <c r="B566" s="4">
        <v>42644</v>
      </c>
      <c r="C566" s="3">
        <v>3000</v>
      </c>
      <c r="D566" s="7" t="s">
        <v>182</v>
      </c>
      <c r="E566" s="6">
        <v>4000</v>
      </c>
      <c r="F566" s="6">
        <v>20000</v>
      </c>
      <c r="G566" s="14">
        <v>3666.9</v>
      </c>
      <c r="H566" s="3">
        <v>3700</v>
      </c>
      <c r="I566" s="7" t="s">
        <v>182</v>
      </c>
      <c r="J566" s="6">
        <v>4000</v>
      </c>
      <c r="K566" s="6">
        <v>20000</v>
      </c>
      <c r="L566" s="14">
        <v>3666.9</v>
      </c>
      <c r="M566" s="19">
        <v>559</v>
      </c>
      <c r="N566" s="7" t="s">
        <v>242</v>
      </c>
      <c r="O566" s="20" t="s">
        <v>245</v>
      </c>
      <c r="P566" s="20" t="s">
        <v>245</v>
      </c>
      <c r="Q566" s="20" t="s">
        <v>245</v>
      </c>
      <c r="R566" s="21">
        <v>42745</v>
      </c>
      <c r="S566" s="22" t="s">
        <v>246</v>
      </c>
      <c r="T566" s="22">
        <v>2016</v>
      </c>
      <c r="U566" s="21">
        <v>42735</v>
      </c>
      <c r="V566" s="22"/>
    </row>
    <row r="567" spans="1:22" ht="19.5" customHeight="1" x14ac:dyDescent="0.3">
      <c r="A567" s="3">
        <v>2016</v>
      </c>
      <c r="B567" s="4">
        <v>42644</v>
      </c>
      <c r="C567" s="3">
        <v>3000</v>
      </c>
      <c r="D567" s="7" t="s">
        <v>230</v>
      </c>
      <c r="E567" s="6">
        <v>0</v>
      </c>
      <c r="F567" s="6">
        <v>22430</v>
      </c>
      <c r="G567" s="14">
        <v>23000</v>
      </c>
      <c r="H567" s="3">
        <v>3800</v>
      </c>
      <c r="I567" s="7" t="s">
        <v>230</v>
      </c>
      <c r="J567" s="6">
        <v>0</v>
      </c>
      <c r="K567" s="6">
        <v>22430</v>
      </c>
      <c r="L567" s="14">
        <v>23000</v>
      </c>
      <c r="M567" s="23">
        <v>560</v>
      </c>
      <c r="N567" s="7" t="s">
        <v>242</v>
      </c>
      <c r="O567" s="20" t="s">
        <v>245</v>
      </c>
      <c r="P567" s="20" t="s">
        <v>245</v>
      </c>
      <c r="Q567" s="20" t="s">
        <v>245</v>
      </c>
      <c r="R567" s="21">
        <v>42745</v>
      </c>
      <c r="S567" s="22" t="s">
        <v>246</v>
      </c>
      <c r="T567" s="22">
        <v>2016</v>
      </c>
      <c r="U567" s="21">
        <v>42735</v>
      </c>
      <c r="V567" s="22"/>
    </row>
    <row r="568" spans="1:22" ht="19.5" customHeight="1" x14ac:dyDescent="0.3">
      <c r="A568" s="3">
        <v>2016</v>
      </c>
      <c r="B568" s="4">
        <v>42644</v>
      </c>
      <c r="C568" s="3">
        <v>3000</v>
      </c>
      <c r="D568" s="10" t="s">
        <v>183</v>
      </c>
      <c r="E568" s="6">
        <v>4101228</v>
      </c>
      <c r="F568" s="6">
        <f>4259689.33+305572.96</f>
        <v>4565262.29</v>
      </c>
      <c r="G568" s="14">
        <v>4247247.49</v>
      </c>
      <c r="H568" s="3">
        <v>3800</v>
      </c>
      <c r="I568" s="10" t="s">
        <v>183</v>
      </c>
      <c r="J568" s="6">
        <v>4101228</v>
      </c>
      <c r="K568" s="6">
        <f>4259689.33+305572.96</f>
        <v>4565262.29</v>
      </c>
      <c r="L568" s="14">
        <v>4247247.49</v>
      </c>
      <c r="M568" s="19">
        <v>561</v>
      </c>
      <c r="N568" s="7" t="s">
        <v>242</v>
      </c>
      <c r="O568" s="20" t="s">
        <v>245</v>
      </c>
      <c r="P568" s="20" t="s">
        <v>245</v>
      </c>
      <c r="Q568" s="20" t="s">
        <v>245</v>
      </c>
      <c r="R568" s="21">
        <v>42745</v>
      </c>
      <c r="S568" s="22" t="s">
        <v>246</v>
      </c>
      <c r="T568" s="22">
        <v>2016</v>
      </c>
      <c r="U568" s="21">
        <v>42735</v>
      </c>
      <c r="V568" s="22"/>
    </row>
    <row r="569" spans="1:22" ht="19.5" customHeight="1" x14ac:dyDescent="0.3">
      <c r="A569" s="3">
        <v>2016</v>
      </c>
      <c r="B569" s="4">
        <v>42644</v>
      </c>
      <c r="C569" s="3">
        <v>3000</v>
      </c>
      <c r="D569" s="10" t="s">
        <v>184</v>
      </c>
      <c r="E569" s="6">
        <v>617333</v>
      </c>
      <c r="F569" s="6">
        <v>1049343.8999999999</v>
      </c>
      <c r="G569" s="14">
        <v>686330.61</v>
      </c>
      <c r="H569" s="3">
        <v>3800</v>
      </c>
      <c r="I569" s="10" t="s">
        <v>184</v>
      </c>
      <c r="J569" s="6">
        <v>617333</v>
      </c>
      <c r="K569" s="6">
        <v>1049343.8999999999</v>
      </c>
      <c r="L569" s="14">
        <v>686330.61</v>
      </c>
      <c r="M569" s="23">
        <v>562</v>
      </c>
      <c r="N569" s="7" t="s">
        <v>242</v>
      </c>
      <c r="O569" s="20" t="s">
        <v>245</v>
      </c>
      <c r="P569" s="20" t="s">
        <v>245</v>
      </c>
      <c r="Q569" s="20" t="s">
        <v>245</v>
      </c>
      <c r="R569" s="21">
        <v>42745</v>
      </c>
      <c r="S569" s="22" t="s">
        <v>246</v>
      </c>
      <c r="T569" s="22">
        <v>2016</v>
      </c>
      <c r="U569" s="21">
        <v>42735</v>
      </c>
      <c r="V569" s="22"/>
    </row>
    <row r="570" spans="1:22" ht="19.5" customHeight="1" x14ac:dyDescent="0.3">
      <c r="A570" s="3">
        <v>2016</v>
      </c>
      <c r="B570" s="4">
        <v>42644</v>
      </c>
      <c r="C570" s="3">
        <v>3000</v>
      </c>
      <c r="D570" s="10" t="s">
        <v>185</v>
      </c>
      <c r="E570" s="6">
        <v>1860850.1</v>
      </c>
      <c r="F570" s="6">
        <f>705820.13+203636.82</f>
        <v>909456.95</v>
      </c>
      <c r="G570" s="14">
        <v>392846.00000000006</v>
      </c>
      <c r="H570" s="3">
        <v>3800</v>
      </c>
      <c r="I570" s="10" t="s">
        <v>185</v>
      </c>
      <c r="J570" s="6">
        <v>1860850.1</v>
      </c>
      <c r="K570" s="6">
        <f>705820.13+203636.82</f>
        <v>909456.95</v>
      </c>
      <c r="L570" s="14">
        <v>392846.00000000006</v>
      </c>
      <c r="M570" s="19">
        <v>563</v>
      </c>
      <c r="N570" s="7" t="s">
        <v>242</v>
      </c>
      <c r="O570" s="20" t="s">
        <v>245</v>
      </c>
      <c r="P570" s="20" t="s">
        <v>245</v>
      </c>
      <c r="Q570" s="20" t="s">
        <v>245</v>
      </c>
      <c r="R570" s="21">
        <v>42745</v>
      </c>
      <c r="S570" s="22" t="s">
        <v>246</v>
      </c>
      <c r="T570" s="22">
        <v>2016</v>
      </c>
      <c r="U570" s="21">
        <v>42735</v>
      </c>
      <c r="V570" s="22"/>
    </row>
    <row r="571" spans="1:22" ht="19.5" customHeight="1" x14ac:dyDescent="0.3">
      <c r="A571" s="3">
        <v>2016</v>
      </c>
      <c r="B571" s="4">
        <v>42644</v>
      </c>
      <c r="C571" s="3">
        <v>3000</v>
      </c>
      <c r="D571" s="7" t="s">
        <v>186</v>
      </c>
      <c r="E571" s="6">
        <v>387031.95</v>
      </c>
      <c r="F571" s="6">
        <f>309255.84+12000</f>
        <v>321255.84000000003</v>
      </c>
      <c r="G571" s="14">
        <v>102751.88</v>
      </c>
      <c r="H571" s="3">
        <v>3900</v>
      </c>
      <c r="I571" s="7" t="s">
        <v>186</v>
      </c>
      <c r="J571" s="6">
        <v>387031.95</v>
      </c>
      <c r="K571" s="6">
        <f>309255.84+12000</f>
        <v>321255.84000000003</v>
      </c>
      <c r="L571" s="14">
        <v>102751.88</v>
      </c>
      <c r="M571" s="23">
        <v>564</v>
      </c>
      <c r="N571" s="7" t="s">
        <v>242</v>
      </c>
      <c r="O571" s="20" t="s">
        <v>245</v>
      </c>
      <c r="P571" s="20" t="s">
        <v>245</v>
      </c>
      <c r="Q571" s="20" t="s">
        <v>245</v>
      </c>
      <c r="R571" s="21">
        <v>42745</v>
      </c>
      <c r="S571" s="22" t="s">
        <v>246</v>
      </c>
      <c r="T571" s="22">
        <v>2016</v>
      </c>
      <c r="U571" s="21">
        <v>42735</v>
      </c>
      <c r="V571" s="22"/>
    </row>
    <row r="572" spans="1:22" ht="19.5" customHeight="1" x14ac:dyDescent="0.3">
      <c r="A572" s="3">
        <v>2016</v>
      </c>
      <c r="B572" s="4">
        <v>42644</v>
      </c>
      <c r="C572" s="3">
        <v>3000</v>
      </c>
      <c r="D572" s="7" t="s">
        <v>187</v>
      </c>
      <c r="E572" s="6">
        <v>0</v>
      </c>
      <c r="F572" s="6">
        <v>250000</v>
      </c>
      <c r="G572" s="14">
        <v>223941.65</v>
      </c>
      <c r="H572" s="3">
        <v>3900</v>
      </c>
      <c r="I572" s="7" t="s">
        <v>187</v>
      </c>
      <c r="J572" s="6">
        <v>0</v>
      </c>
      <c r="K572" s="6">
        <v>250000</v>
      </c>
      <c r="L572" s="14">
        <v>223941.65</v>
      </c>
      <c r="M572" s="19">
        <v>565</v>
      </c>
      <c r="N572" s="7" t="s">
        <v>242</v>
      </c>
      <c r="O572" s="20" t="s">
        <v>245</v>
      </c>
      <c r="P572" s="20" t="s">
        <v>245</v>
      </c>
      <c r="Q572" s="20" t="s">
        <v>245</v>
      </c>
      <c r="R572" s="21">
        <v>42745</v>
      </c>
      <c r="S572" s="22" t="s">
        <v>246</v>
      </c>
      <c r="T572" s="22">
        <v>2016</v>
      </c>
      <c r="U572" s="21">
        <v>42735</v>
      </c>
      <c r="V572" s="22"/>
    </row>
    <row r="573" spans="1:22" ht="19.5" customHeight="1" x14ac:dyDescent="0.3">
      <c r="A573" s="3">
        <v>2016</v>
      </c>
      <c r="B573" s="4">
        <v>42644</v>
      </c>
      <c r="C573" s="3">
        <v>3000</v>
      </c>
      <c r="D573" s="7" t="s">
        <v>188</v>
      </c>
      <c r="E573" s="6">
        <v>26790709.48</v>
      </c>
      <c r="F573" s="6">
        <f>27342912.63+1821703</f>
        <v>29164615.629999999</v>
      </c>
      <c r="G573" s="14">
        <v>26714483</v>
      </c>
      <c r="H573" s="3">
        <v>3900</v>
      </c>
      <c r="I573" s="7" t="s">
        <v>188</v>
      </c>
      <c r="J573" s="6">
        <v>26790709.48</v>
      </c>
      <c r="K573" s="6">
        <f>27342912.63+1821703</f>
        <v>29164615.629999999</v>
      </c>
      <c r="L573" s="14">
        <v>26714483</v>
      </c>
      <c r="M573" s="23">
        <v>566</v>
      </c>
      <c r="N573" s="7" t="s">
        <v>242</v>
      </c>
      <c r="O573" s="20" t="s">
        <v>245</v>
      </c>
      <c r="P573" s="20" t="s">
        <v>245</v>
      </c>
      <c r="Q573" s="20" t="s">
        <v>245</v>
      </c>
      <c r="R573" s="21">
        <v>42745</v>
      </c>
      <c r="S573" s="22" t="s">
        <v>246</v>
      </c>
      <c r="T573" s="22">
        <v>2016</v>
      </c>
      <c r="U573" s="21">
        <v>42735</v>
      </c>
      <c r="V573" s="22"/>
    </row>
    <row r="574" spans="1:22" ht="19.5" customHeight="1" x14ac:dyDescent="0.3">
      <c r="A574" s="3">
        <v>2016</v>
      </c>
      <c r="B574" s="4">
        <v>42644</v>
      </c>
      <c r="C574" s="3">
        <v>4000</v>
      </c>
      <c r="D574" s="7" t="s">
        <v>189</v>
      </c>
      <c r="E574" s="6">
        <v>11400</v>
      </c>
      <c r="F574" s="6">
        <v>0</v>
      </c>
      <c r="G574" s="14">
        <v>0</v>
      </c>
      <c r="H574" s="3">
        <v>4100</v>
      </c>
      <c r="I574" s="7" t="s">
        <v>189</v>
      </c>
      <c r="J574" s="6">
        <v>11400</v>
      </c>
      <c r="K574" s="6">
        <v>0</v>
      </c>
      <c r="L574" s="14">
        <v>0</v>
      </c>
      <c r="M574" s="19">
        <v>567</v>
      </c>
      <c r="N574" s="7" t="s">
        <v>239</v>
      </c>
      <c r="O574" s="20" t="s">
        <v>245</v>
      </c>
      <c r="P574" s="20" t="s">
        <v>245</v>
      </c>
      <c r="Q574" s="20" t="s">
        <v>245</v>
      </c>
      <c r="R574" s="21">
        <v>42745</v>
      </c>
      <c r="S574" s="22" t="s">
        <v>246</v>
      </c>
      <c r="T574" s="22">
        <v>2016</v>
      </c>
      <c r="U574" s="21">
        <v>42735</v>
      </c>
      <c r="V574" s="22"/>
    </row>
    <row r="575" spans="1:22" ht="19.5" customHeight="1" x14ac:dyDescent="0.3">
      <c r="A575" s="3">
        <v>2016</v>
      </c>
      <c r="B575" s="4">
        <v>42644</v>
      </c>
      <c r="C575" s="3">
        <v>4000</v>
      </c>
      <c r="D575" s="7" t="s">
        <v>223</v>
      </c>
      <c r="E575" s="6">
        <v>0</v>
      </c>
      <c r="F575" s="6">
        <v>0</v>
      </c>
      <c r="G575" s="14">
        <v>0</v>
      </c>
      <c r="H575" s="3">
        <v>4100</v>
      </c>
      <c r="I575" s="7" t="s">
        <v>223</v>
      </c>
      <c r="J575" s="6">
        <v>0</v>
      </c>
      <c r="K575" s="6">
        <v>0</v>
      </c>
      <c r="L575" s="14">
        <v>0</v>
      </c>
      <c r="M575" s="23">
        <v>568</v>
      </c>
      <c r="N575" s="7" t="s">
        <v>239</v>
      </c>
      <c r="O575" s="20" t="s">
        <v>245</v>
      </c>
      <c r="P575" s="20" t="s">
        <v>245</v>
      </c>
      <c r="Q575" s="20" t="s">
        <v>245</v>
      </c>
      <c r="R575" s="21">
        <v>42745</v>
      </c>
      <c r="S575" s="22" t="s">
        <v>246</v>
      </c>
      <c r="T575" s="22">
        <v>2016</v>
      </c>
      <c r="U575" s="21">
        <v>42735</v>
      </c>
      <c r="V575" s="22"/>
    </row>
    <row r="576" spans="1:22" ht="19.5" customHeight="1" x14ac:dyDescent="0.3">
      <c r="A576" s="3">
        <v>2016</v>
      </c>
      <c r="B576" s="4">
        <v>42644</v>
      </c>
      <c r="C576" s="3">
        <v>4000</v>
      </c>
      <c r="D576" s="10" t="s">
        <v>190</v>
      </c>
      <c r="E576" s="6">
        <v>6500</v>
      </c>
      <c r="F576" s="6">
        <v>24473</v>
      </c>
      <c r="G576" s="14">
        <v>66989.440000000002</v>
      </c>
      <c r="H576" s="3">
        <v>4400</v>
      </c>
      <c r="I576" s="10" t="s">
        <v>190</v>
      </c>
      <c r="J576" s="6">
        <v>6500</v>
      </c>
      <c r="K576" s="6">
        <v>24473</v>
      </c>
      <c r="L576" s="14">
        <v>66989.440000000002</v>
      </c>
      <c r="M576" s="19">
        <v>569</v>
      </c>
      <c r="N576" s="7" t="s">
        <v>239</v>
      </c>
      <c r="O576" s="20" t="s">
        <v>245</v>
      </c>
      <c r="P576" s="20" t="s">
        <v>245</v>
      </c>
      <c r="Q576" s="20" t="s">
        <v>245</v>
      </c>
      <c r="R576" s="21">
        <v>42745</v>
      </c>
      <c r="S576" s="22" t="s">
        <v>246</v>
      </c>
      <c r="T576" s="22">
        <v>2016</v>
      </c>
      <c r="U576" s="21">
        <v>42735</v>
      </c>
      <c r="V576" s="22"/>
    </row>
    <row r="577" spans="1:22" ht="19.5" customHeight="1" x14ac:dyDescent="0.3">
      <c r="A577" s="3">
        <v>2016</v>
      </c>
      <c r="B577" s="4">
        <v>42644</v>
      </c>
      <c r="C577" s="3">
        <v>4000</v>
      </c>
      <c r="D577" s="10" t="s">
        <v>191</v>
      </c>
      <c r="E577" s="6">
        <v>0</v>
      </c>
      <c r="F577" s="6">
        <v>650760</v>
      </c>
      <c r="G577" s="14">
        <v>184754</v>
      </c>
      <c r="H577" s="3">
        <v>4400</v>
      </c>
      <c r="I577" s="10" t="s">
        <v>191</v>
      </c>
      <c r="J577" s="6">
        <v>0</v>
      </c>
      <c r="K577" s="6">
        <v>650760</v>
      </c>
      <c r="L577" s="14">
        <v>184754</v>
      </c>
      <c r="M577" s="23">
        <v>570</v>
      </c>
      <c r="N577" s="7" t="s">
        <v>239</v>
      </c>
      <c r="O577" s="20" t="s">
        <v>245</v>
      </c>
      <c r="P577" s="20" t="s">
        <v>245</v>
      </c>
      <c r="Q577" s="20" t="s">
        <v>245</v>
      </c>
      <c r="R577" s="21">
        <v>42745</v>
      </c>
      <c r="S577" s="22" t="s">
        <v>246</v>
      </c>
      <c r="T577" s="22">
        <v>2016</v>
      </c>
      <c r="U577" s="21">
        <v>42735</v>
      </c>
      <c r="V577" s="22"/>
    </row>
    <row r="578" spans="1:22" ht="19.5" customHeight="1" x14ac:dyDescent="0.3">
      <c r="A578" s="3">
        <v>2016</v>
      </c>
      <c r="B578" s="4">
        <v>42644</v>
      </c>
      <c r="C578" s="3">
        <v>4000</v>
      </c>
      <c r="D578" s="10" t="s">
        <v>192</v>
      </c>
      <c r="E578" s="6">
        <v>22849000</v>
      </c>
      <c r="F578" s="6">
        <f>22685002+25688869.9</f>
        <v>48373871.899999999</v>
      </c>
      <c r="G578" s="14">
        <v>35685337.599999994</v>
      </c>
      <c r="H578" s="3">
        <v>4400</v>
      </c>
      <c r="I578" s="10" t="s">
        <v>192</v>
      </c>
      <c r="J578" s="6">
        <v>22849000</v>
      </c>
      <c r="K578" s="6">
        <f>22685002+25688869.9</f>
        <v>48373871.899999999</v>
      </c>
      <c r="L578" s="14">
        <v>35685337.599999994</v>
      </c>
      <c r="M578" s="19">
        <v>571</v>
      </c>
      <c r="N578" s="7" t="s">
        <v>239</v>
      </c>
      <c r="O578" s="20" t="s">
        <v>245</v>
      </c>
      <c r="P578" s="20" t="s">
        <v>245</v>
      </c>
      <c r="Q578" s="20" t="s">
        <v>245</v>
      </c>
      <c r="R578" s="21">
        <v>42745</v>
      </c>
      <c r="S578" s="22" t="s">
        <v>246</v>
      </c>
      <c r="T578" s="22">
        <v>2016</v>
      </c>
      <c r="U578" s="21">
        <v>42735</v>
      </c>
      <c r="V578" s="22"/>
    </row>
    <row r="579" spans="1:22" ht="19.5" customHeight="1" x14ac:dyDescent="0.3">
      <c r="A579" s="3">
        <v>2016</v>
      </c>
      <c r="B579" s="4">
        <v>42644</v>
      </c>
      <c r="C579" s="3">
        <v>4000</v>
      </c>
      <c r="D579" s="10" t="s">
        <v>193</v>
      </c>
      <c r="E579" s="6">
        <v>700000</v>
      </c>
      <c r="F579" s="6">
        <f>1987379.82+519335.26</f>
        <v>2506715.08</v>
      </c>
      <c r="G579" s="14">
        <v>1475694.27</v>
      </c>
      <c r="H579" s="3">
        <v>4400</v>
      </c>
      <c r="I579" s="10" t="s">
        <v>193</v>
      </c>
      <c r="J579" s="6">
        <v>700000</v>
      </c>
      <c r="K579" s="6">
        <f>1987379.82+519335.26</f>
        <v>2506715.08</v>
      </c>
      <c r="L579" s="14">
        <v>1475694.27</v>
      </c>
      <c r="M579" s="23">
        <v>572</v>
      </c>
      <c r="N579" s="7" t="s">
        <v>239</v>
      </c>
      <c r="O579" s="20" t="s">
        <v>245</v>
      </c>
      <c r="P579" s="20" t="s">
        <v>245</v>
      </c>
      <c r="Q579" s="20" t="s">
        <v>245</v>
      </c>
      <c r="R579" s="21">
        <v>42745</v>
      </c>
      <c r="S579" s="22" t="s">
        <v>246</v>
      </c>
      <c r="T579" s="22">
        <v>2016</v>
      </c>
      <c r="U579" s="21">
        <v>42735</v>
      </c>
      <c r="V579" s="22"/>
    </row>
    <row r="580" spans="1:22" ht="19.5" customHeight="1" x14ac:dyDescent="0.3">
      <c r="A580" s="3">
        <v>2016</v>
      </c>
      <c r="B580" s="4">
        <v>42644</v>
      </c>
      <c r="C580" s="3">
        <v>5000</v>
      </c>
      <c r="D580" s="10" t="s">
        <v>194</v>
      </c>
      <c r="E580" s="6">
        <v>1198197.3</v>
      </c>
      <c r="F580" s="6">
        <f>1804395.31+18000000+1071862.77</f>
        <v>20876258.079999998</v>
      </c>
      <c r="G580" s="15">
        <v>1482805.45</v>
      </c>
      <c r="H580" s="3">
        <v>5100</v>
      </c>
      <c r="I580" s="10" t="s">
        <v>194</v>
      </c>
      <c r="J580" s="6">
        <v>1198197.3</v>
      </c>
      <c r="K580" s="6">
        <f>1804395.31+18000000+1071862.77</f>
        <v>20876258.079999998</v>
      </c>
      <c r="L580" s="15">
        <v>1482805.45</v>
      </c>
      <c r="M580" s="19">
        <v>573</v>
      </c>
      <c r="N580" s="7" t="s">
        <v>243</v>
      </c>
      <c r="O580" s="20" t="s">
        <v>245</v>
      </c>
      <c r="P580" s="20" t="s">
        <v>245</v>
      </c>
      <c r="Q580" s="20" t="s">
        <v>245</v>
      </c>
      <c r="R580" s="21">
        <v>42745</v>
      </c>
      <c r="S580" s="22" t="s">
        <v>246</v>
      </c>
      <c r="T580" s="22">
        <v>2016</v>
      </c>
      <c r="U580" s="21">
        <v>42735</v>
      </c>
      <c r="V580" s="22"/>
    </row>
    <row r="581" spans="1:22" ht="19.5" customHeight="1" x14ac:dyDescent="0.3">
      <c r="A581" s="3">
        <v>2016</v>
      </c>
      <c r="B581" s="4">
        <v>42644</v>
      </c>
      <c r="C581" s="3">
        <v>5000</v>
      </c>
      <c r="D581" s="12" t="s">
        <v>224</v>
      </c>
      <c r="E581" s="6">
        <v>0</v>
      </c>
      <c r="F581" s="6">
        <v>72408</v>
      </c>
      <c r="G581" s="15">
        <v>71059.28</v>
      </c>
      <c r="H581" s="3">
        <v>5100</v>
      </c>
      <c r="I581" s="12" t="s">
        <v>224</v>
      </c>
      <c r="J581" s="6">
        <v>0</v>
      </c>
      <c r="K581" s="6">
        <v>72408</v>
      </c>
      <c r="L581" s="15">
        <v>71059.28</v>
      </c>
      <c r="M581" s="23">
        <v>574</v>
      </c>
      <c r="N581" s="7" t="s">
        <v>243</v>
      </c>
      <c r="O581" s="20" t="s">
        <v>245</v>
      </c>
      <c r="P581" s="20" t="s">
        <v>245</v>
      </c>
      <c r="Q581" s="20" t="s">
        <v>245</v>
      </c>
      <c r="R581" s="21">
        <v>42745</v>
      </c>
      <c r="S581" s="22" t="s">
        <v>246</v>
      </c>
      <c r="T581" s="22">
        <v>2016</v>
      </c>
      <c r="U581" s="21">
        <v>42735</v>
      </c>
      <c r="V581" s="22"/>
    </row>
    <row r="582" spans="1:22" ht="19.5" customHeight="1" x14ac:dyDescent="0.3">
      <c r="A582" s="3">
        <v>2016</v>
      </c>
      <c r="B582" s="4">
        <v>42644</v>
      </c>
      <c r="C582" s="3">
        <v>5000</v>
      </c>
      <c r="D582" s="10" t="s">
        <v>195</v>
      </c>
      <c r="E582" s="6">
        <v>0</v>
      </c>
      <c r="F582" s="6">
        <f>656666.62+596593.26</f>
        <v>1253259.8799999999</v>
      </c>
      <c r="G582" s="15">
        <v>1253259.8800000001</v>
      </c>
      <c r="H582" s="3">
        <v>5100</v>
      </c>
      <c r="I582" s="10" t="s">
        <v>195</v>
      </c>
      <c r="J582" s="6">
        <v>0</v>
      </c>
      <c r="K582" s="6">
        <f>656666.62+596593.26</f>
        <v>1253259.8799999999</v>
      </c>
      <c r="L582" s="15">
        <v>1253259.8800000001</v>
      </c>
      <c r="M582" s="19">
        <v>575</v>
      </c>
      <c r="N582" s="7" t="s">
        <v>243</v>
      </c>
      <c r="O582" s="20" t="s">
        <v>245</v>
      </c>
      <c r="P582" s="20" t="s">
        <v>245</v>
      </c>
      <c r="Q582" s="20" t="s">
        <v>245</v>
      </c>
      <c r="R582" s="21">
        <v>42745</v>
      </c>
      <c r="S582" s="22" t="s">
        <v>246</v>
      </c>
      <c r="T582" s="22">
        <v>2016</v>
      </c>
      <c r="U582" s="21">
        <v>42735</v>
      </c>
      <c r="V582" s="22"/>
    </row>
    <row r="583" spans="1:22" ht="19.5" customHeight="1" x14ac:dyDescent="0.3">
      <c r="A583" s="3">
        <v>2016</v>
      </c>
      <c r="B583" s="4">
        <v>42644</v>
      </c>
      <c r="C583" s="3">
        <v>5000</v>
      </c>
      <c r="D583" s="10" t="s">
        <v>196</v>
      </c>
      <c r="E583" s="6">
        <v>1532447</v>
      </c>
      <c r="F583" s="6">
        <f>5808942.52+27802288.8+8961835.51</f>
        <v>42573066.829999998</v>
      </c>
      <c r="G583" s="15">
        <v>7049472.6599999992</v>
      </c>
      <c r="H583" s="3">
        <v>5100</v>
      </c>
      <c r="I583" s="10" t="s">
        <v>196</v>
      </c>
      <c r="J583" s="6">
        <v>1532447</v>
      </c>
      <c r="K583" s="6">
        <f>5808942.52+27802288.8+8961835.51</f>
        <v>42573066.829999998</v>
      </c>
      <c r="L583" s="15">
        <v>7049472.6599999992</v>
      </c>
      <c r="M583" s="23">
        <v>576</v>
      </c>
      <c r="N583" s="7" t="s">
        <v>243</v>
      </c>
      <c r="O583" s="20" t="s">
        <v>245</v>
      </c>
      <c r="P583" s="20" t="s">
        <v>245</v>
      </c>
      <c r="Q583" s="20" t="s">
        <v>245</v>
      </c>
      <c r="R583" s="21">
        <v>42745</v>
      </c>
      <c r="S583" s="22" t="s">
        <v>246</v>
      </c>
      <c r="T583" s="22">
        <v>2016</v>
      </c>
      <c r="U583" s="21">
        <v>42735</v>
      </c>
      <c r="V583" s="22"/>
    </row>
    <row r="584" spans="1:22" ht="19.5" customHeight="1" x14ac:dyDescent="0.3">
      <c r="A584" s="3">
        <v>2016</v>
      </c>
      <c r="B584" s="4">
        <v>42644</v>
      </c>
      <c r="C584" s="3">
        <v>5000</v>
      </c>
      <c r="D584" s="10" t="s">
        <v>197</v>
      </c>
      <c r="E584" s="6">
        <v>72517.5</v>
      </c>
      <c r="F584" s="6">
        <f>555463.68+596632.88</f>
        <v>1152096.56</v>
      </c>
      <c r="G584" s="15">
        <v>948936.58</v>
      </c>
      <c r="H584" s="3">
        <v>5100</v>
      </c>
      <c r="I584" s="10" t="s">
        <v>197</v>
      </c>
      <c r="J584" s="6">
        <v>72517.5</v>
      </c>
      <c r="K584" s="6">
        <f>555463.68+596632.88</f>
        <v>1152096.56</v>
      </c>
      <c r="L584" s="15">
        <v>948936.58</v>
      </c>
      <c r="M584" s="19">
        <v>577</v>
      </c>
      <c r="N584" s="7" t="s">
        <v>243</v>
      </c>
      <c r="O584" s="20" t="s">
        <v>245</v>
      </c>
      <c r="P584" s="20" t="s">
        <v>245</v>
      </c>
      <c r="Q584" s="20" t="s">
        <v>245</v>
      </c>
      <c r="R584" s="21">
        <v>42745</v>
      </c>
      <c r="S584" s="22" t="s">
        <v>246</v>
      </c>
      <c r="T584" s="22">
        <v>2016</v>
      </c>
      <c r="U584" s="21">
        <v>42735</v>
      </c>
      <c r="V584" s="22"/>
    </row>
    <row r="585" spans="1:22" ht="19.5" customHeight="1" x14ac:dyDescent="0.3">
      <c r="A585" s="3">
        <v>2016</v>
      </c>
      <c r="B585" s="4">
        <v>42644</v>
      </c>
      <c r="C585" s="3">
        <v>5000</v>
      </c>
      <c r="D585" s="10" t="s">
        <v>198</v>
      </c>
      <c r="E585" s="6">
        <v>466291.83</v>
      </c>
      <c r="F585" s="6">
        <f>950404.15+1500519.29</f>
        <v>2450923.44</v>
      </c>
      <c r="G585" s="15">
        <v>1797847.1600000001</v>
      </c>
      <c r="H585" s="3">
        <v>5200</v>
      </c>
      <c r="I585" s="10" t="s">
        <v>198</v>
      </c>
      <c r="J585" s="6">
        <v>466291.83</v>
      </c>
      <c r="K585" s="6">
        <f>950404.15+1500519.29</f>
        <v>2450923.44</v>
      </c>
      <c r="L585" s="15">
        <v>1797847.1600000001</v>
      </c>
      <c r="M585" s="23">
        <v>578</v>
      </c>
      <c r="N585" s="7" t="s">
        <v>243</v>
      </c>
      <c r="O585" s="20" t="s">
        <v>245</v>
      </c>
      <c r="P585" s="20" t="s">
        <v>245</v>
      </c>
      <c r="Q585" s="20" t="s">
        <v>245</v>
      </c>
      <c r="R585" s="21">
        <v>42745</v>
      </c>
      <c r="S585" s="22" t="s">
        <v>246</v>
      </c>
      <c r="T585" s="22">
        <v>2016</v>
      </c>
      <c r="U585" s="21">
        <v>42735</v>
      </c>
      <c r="V585" s="22"/>
    </row>
    <row r="586" spans="1:22" ht="19.5" customHeight="1" x14ac:dyDescent="0.3">
      <c r="A586" s="3">
        <v>2016</v>
      </c>
      <c r="B586" s="4">
        <v>42644</v>
      </c>
      <c r="C586" s="3">
        <v>5000</v>
      </c>
      <c r="D586" s="10" t="s">
        <v>199</v>
      </c>
      <c r="E586" s="6">
        <v>257289.1</v>
      </c>
      <c r="F586" s="6">
        <f>1208423.43+804112.77</f>
        <v>2012536.2</v>
      </c>
      <c r="G586" s="15">
        <v>1776341.9700000002</v>
      </c>
      <c r="H586" s="3">
        <v>5200</v>
      </c>
      <c r="I586" s="10" t="s">
        <v>199</v>
      </c>
      <c r="J586" s="6">
        <v>257289.1</v>
      </c>
      <c r="K586" s="6">
        <f>1208423.43+804112.77</f>
        <v>2012536.2</v>
      </c>
      <c r="L586" s="15">
        <v>1776341.9700000002</v>
      </c>
      <c r="M586" s="19">
        <v>579</v>
      </c>
      <c r="N586" s="7" t="s">
        <v>243</v>
      </c>
      <c r="O586" s="20" t="s">
        <v>245</v>
      </c>
      <c r="P586" s="20" t="s">
        <v>245</v>
      </c>
      <c r="Q586" s="20" t="s">
        <v>245</v>
      </c>
      <c r="R586" s="21">
        <v>42745</v>
      </c>
      <c r="S586" s="22" t="s">
        <v>246</v>
      </c>
      <c r="T586" s="22">
        <v>2016</v>
      </c>
      <c r="U586" s="21">
        <v>42735</v>
      </c>
      <c r="V586" s="22"/>
    </row>
    <row r="587" spans="1:22" ht="19.5" customHeight="1" x14ac:dyDescent="0.3">
      <c r="A587" s="3">
        <v>2016</v>
      </c>
      <c r="B587" s="4">
        <v>42644</v>
      </c>
      <c r="C587" s="3">
        <v>5000</v>
      </c>
      <c r="D587" s="10" t="s">
        <v>200</v>
      </c>
      <c r="E587" s="6">
        <v>10338</v>
      </c>
      <c r="F587" s="6">
        <f>109914.92+470577.2</f>
        <v>580492.12</v>
      </c>
      <c r="G587" s="15">
        <v>223398.59999999998</v>
      </c>
      <c r="H587" s="3">
        <v>5200</v>
      </c>
      <c r="I587" s="10" t="s">
        <v>200</v>
      </c>
      <c r="J587" s="6">
        <v>10338</v>
      </c>
      <c r="K587" s="6">
        <f>109914.92+470577.2</f>
        <v>580492.12</v>
      </c>
      <c r="L587" s="15">
        <v>223398.59999999998</v>
      </c>
      <c r="M587" s="23">
        <v>580</v>
      </c>
      <c r="N587" s="7" t="s">
        <v>243</v>
      </c>
      <c r="O587" s="20" t="s">
        <v>245</v>
      </c>
      <c r="P587" s="20" t="s">
        <v>245</v>
      </c>
      <c r="Q587" s="20" t="s">
        <v>245</v>
      </c>
      <c r="R587" s="21">
        <v>42745</v>
      </c>
      <c r="S587" s="22" t="s">
        <v>246</v>
      </c>
      <c r="T587" s="22">
        <v>2016</v>
      </c>
      <c r="U587" s="21">
        <v>42735</v>
      </c>
      <c r="V587" s="22"/>
    </row>
    <row r="588" spans="1:22" ht="19.5" customHeight="1" x14ac:dyDescent="0.3">
      <c r="A588" s="3">
        <v>2016</v>
      </c>
      <c r="B588" s="4">
        <v>42644</v>
      </c>
      <c r="C588" s="3">
        <v>5000</v>
      </c>
      <c r="D588" s="10" t="s">
        <v>201</v>
      </c>
      <c r="E588" s="6">
        <v>304598.76</v>
      </c>
      <c r="F588" s="6">
        <f>1249438.58+8000000+189428.93</f>
        <v>9438867.5099999998</v>
      </c>
      <c r="G588" s="15">
        <v>313497.65999999997</v>
      </c>
      <c r="H588" s="3">
        <v>5300</v>
      </c>
      <c r="I588" s="10" t="s">
        <v>201</v>
      </c>
      <c r="J588" s="6">
        <v>304598.76</v>
      </c>
      <c r="K588" s="6">
        <f>1249438.58+8000000+189428.93</f>
        <v>9438867.5099999998</v>
      </c>
      <c r="L588" s="15">
        <v>313497.65999999997</v>
      </c>
      <c r="M588" s="19">
        <v>581</v>
      </c>
      <c r="N588" s="7" t="s">
        <v>243</v>
      </c>
      <c r="O588" s="20" t="s">
        <v>245</v>
      </c>
      <c r="P588" s="20" t="s">
        <v>245</v>
      </c>
      <c r="Q588" s="20" t="s">
        <v>245</v>
      </c>
      <c r="R588" s="21">
        <v>42745</v>
      </c>
      <c r="S588" s="22" t="s">
        <v>246</v>
      </c>
      <c r="T588" s="22">
        <v>2016</v>
      </c>
      <c r="U588" s="21">
        <v>42735</v>
      </c>
      <c r="V588" s="22"/>
    </row>
    <row r="589" spans="1:22" ht="19.5" customHeight="1" x14ac:dyDescent="0.3">
      <c r="A589" s="3">
        <v>2016</v>
      </c>
      <c r="B589" s="4">
        <v>42644</v>
      </c>
      <c r="C589" s="3">
        <v>5000</v>
      </c>
      <c r="D589" s="10" t="s">
        <v>202</v>
      </c>
      <c r="E589" s="6">
        <v>1316685.83</v>
      </c>
      <c r="F589" s="6">
        <f>348904.55+196831.25</f>
        <v>545735.80000000005</v>
      </c>
      <c r="G589" s="15">
        <v>402721.85</v>
      </c>
      <c r="H589" s="3">
        <v>5300</v>
      </c>
      <c r="I589" s="10" t="s">
        <v>202</v>
      </c>
      <c r="J589" s="6">
        <v>1316685.83</v>
      </c>
      <c r="K589" s="6">
        <f>348904.55+196831.25</f>
        <v>545735.80000000005</v>
      </c>
      <c r="L589" s="15">
        <v>402721.85</v>
      </c>
      <c r="M589" s="23">
        <v>582</v>
      </c>
      <c r="N589" s="7" t="s">
        <v>243</v>
      </c>
      <c r="O589" s="20" t="s">
        <v>245</v>
      </c>
      <c r="P589" s="20" t="s">
        <v>245</v>
      </c>
      <c r="Q589" s="20" t="s">
        <v>245</v>
      </c>
      <c r="R589" s="21">
        <v>42745</v>
      </c>
      <c r="S589" s="22" t="s">
        <v>246</v>
      </c>
      <c r="T589" s="22">
        <v>2016</v>
      </c>
      <c r="U589" s="21">
        <v>42735</v>
      </c>
      <c r="V589" s="22"/>
    </row>
    <row r="590" spans="1:22" ht="19.5" customHeight="1" x14ac:dyDescent="0.3">
      <c r="A590" s="3">
        <v>2016</v>
      </c>
      <c r="B590" s="4">
        <v>42644</v>
      </c>
      <c r="C590" s="3">
        <v>5000</v>
      </c>
      <c r="D590" s="7" t="s">
        <v>203</v>
      </c>
      <c r="E590" s="6">
        <v>0</v>
      </c>
      <c r="F590" s="6">
        <f>400000+55500.24</f>
        <v>455500.24</v>
      </c>
      <c r="G590" s="15">
        <v>0</v>
      </c>
      <c r="H590" s="3">
        <v>5400</v>
      </c>
      <c r="I590" s="7" t="s">
        <v>203</v>
      </c>
      <c r="J590" s="6">
        <v>0</v>
      </c>
      <c r="K590" s="6">
        <f>400000+55500.24</f>
        <v>455500.24</v>
      </c>
      <c r="L590" s="15">
        <v>0</v>
      </c>
      <c r="M590" s="19">
        <v>583</v>
      </c>
      <c r="N590" s="7" t="s">
        <v>243</v>
      </c>
      <c r="O590" s="20" t="s">
        <v>245</v>
      </c>
      <c r="P590" s="20" t="s">
        <v>245</v>
      </c>
      <c r="Q590" s="20" t="s">
        <v>245</v>
      </c>
      <c r="R590" s="21">
        <v>42745</v>
      </c>
      <c r="S590" s="22" t="s">
        <v>246</v>
      </c>
      <c r="T590" s="22">
        <v>2016</v>
      </c>
      <c r="U590" s="21">
        <v>42735</v>
      </c>
      <c r="V590" s="22"/>
    </row>
    <row r="591" spans="1:22" ht="19.5" customHeight="1" x14ac:dyDescent="0.3">
      <c r="A591" s="3">
        <v>2016</v>
      </c>
      <c r="B591" s="4">
        <v>42644</v>
      </c>
      <c r="C591" s="3">
        <v>5000</v>
      </c>
      <c r="D591" s="7" t="s">
        <v>231</v>
      </c>
      <c r="E591" s="6">
        <v>0</v>
      </c>
      <c r="F591" s="6">
        <f>1866099.97+646399.56</f>
        <v>2512499.5300000003</v>
      </c>
      <c r="G591" s="15">
        <v>1973499.53</v>
      </c>
      <c r="H591" s="3">
        <v>5400</v>
      </c>
      <c r="I591" s="7" t="s">
        <v>231</v>
      </c>
      <c r="J591" s="6">
        <v>0</v>
      </c>
      <c r="K591" s="6">
        <f>1866099.97+646399.56</f>
        <v>2512499.5300000003</v>
      </c>
      <c r="L591" s="15">
        <v>1973499.53</v>
      </c>
      <c r="M591" s="23">
        <v>584</v>
      </c>
      <c r="N591" s="7" t="s">
        <v>243</v>
      </c>
      <c r="O591" s="20" t="s">
        <v>245</v>
      </c>
      <c r="P591" s="20" t="s">
        <v>245</v>
      </c>
      <c r="Q591" s="20" t="s">
        <v>245</v>
      </c>
      <c r="R591" s="21">
        <v>42745</v>
      </c>
      <c r="S591" s="22" t="s">
        <v>246</v>
      </c>
      <c r="T591" s="22">
        <v>2016</v>
      </c>
      <c r="U591" s="21">
        <v>42735</v>
      </c>
      <c r="V591" s="22"/>
    </row>
    <row r="592" spans="1:22" ht="19.5" customHeight="1" x14ac:dyDescent="0.3">
      <c r="A592" s="3">
        <v>2016</v>
      </c>
      <c r="B592" s="4">
        <v>42644</v>
      </c>
      <c r="C592" s="3">
        <v>5000</v>
      </c>
      <c r="D592" s="7" t="s">
        <v>225</v>
      </c>
      <c r="E592" s="6">
        <v>0</v>
      </c>
      <c r="F592" s="6">
        <f>488749.96-31899.8</f>
        <v>456850.16000000003</v>
      </c>
      <c r="G592" s="15">
        <v>410900</v>
      </c>
      <c r="H592" s="3">
        <v>5400</v>
      </c>
      <c r="I592" s="7" t="s">
        <v>225</v>
      </c>
      <c r="J592" s="6">
        <v>0</v>
      </c>
      <c r="K592" s="6">
        <f>488749.96-31899.8</f>
        <v>456850.16000000003</v>
      </c>
      <c r="L592" s="15">
        <v>410900</v>
      </c>
      <c r="M592" s="19">
        <v>585</v>
      </c>
      <c r="N592" s="7" t="s">
        <v>243</v>
      </c>
      <c r="O592" s="20" t="s">
        <v>245</v>
      </c>
      <c r="P592" s="20" t="s">
        <v>245</v>
      </c>
      <c r="Q592" s="20" t="s">
        <v>245</v>
      </c>
      <c r="R592" s="21">
        <v>42745</v>
      </c>
      <c r="S592" s="22" t="s">
        <v>246</v>
      </c>
      <c r="T592" s="22">
        <v>2016</v>
      </c>
      <c r="U592" s="21">
        <v>42735</v>
      </c>
      <c r="V592" s="22"/>
    </row>
    <row r="593" spans="1:22" ht="19.5" customHeight="1" x14ac:dyDescent="0.3">
      <c r="A593" s="3">
        <v>2016</v>
      </c>
      <c r="B593" s="4">
        <v>42644</v>
      </c>
      <c r="C593" s="3">
        <v>5000</v>
      </c>
      <c r="D593" s="7" t="s">
        <v>232</v>
      </c>
      <c r="E593" s="6">
        <v>0</v>
      </c>
      <c r="F593" s="6">
        <f>28000+31331.6</f>
        <v>59331.6</v>
      </c>
      <c r="G593" s="15">
        <v>31331.599999999999</v>
      </c>
      <c r="H593" s="3">
        <v>5400</v>
      </c>
      <c r="I593" s="7" t="s">
        <v>232</v>
      </c>
      <c r="J593" s="6">
        <v>0</v>
      </c>
      <c r="K593" s="6">
        <f>28000+31331.6</f>
        <v>59331.6</v>
      </c>
      <c r="L593" s="15">
        <v>31331.599999999999</v>
      </c>
      <c r="M593" s="23">
        <v>586</v>
      </c>
      <c r="N593" s="7" t="s">
        <v>243</v>
      </c>
      <c r="O593" s="20" t="s">
        <v>245</v>
      </c>
      <c r="P593" s="20" t="s">
        <v>245</v>
      </c>
      <c r="Q593" s="20" t="s">
        <v>245</v>
      </c>
      <c r="R593" s="21">
        <v>42745</v>
      </c>
      <c r="S593" s="22" t="s">
        <v>246</v>
      </c>
      <c r="T593" s="22">
        <v>2016</v>
      </c>
      <c r="U593" s="21">
        <v>42735</v>
      </c>
      <c r="V593" s="22"/>
    </row>
    <row r="594" spans="1:22" ht="19.5" customHeight="1" x14ac:dyDescent="0.3">
      <c r="A594" s="3">
        <v>2016</v>
      </c>
      <c r="B594" s="4">
        <v>42644</v>
      </c>
      <c r="C594" s="3">
        <v>5000</v>
      </c>
      <c r="D594" s="7" t="s">
        <v>226</v>
      </c>
      <c r="E594" s="6">
        <v>0</v>
      </c>
      <c r="F594" s="6">
        <v>52400</v>
      </c>
      <c r="G594" s="15">
        <v>17400</v>
      </c>
      <c r="H594" s="3">
        <v>5400</v>
      </c>
      <c r="I594" s="7" t="s">
        <v>226</v>
      </c>
      <c r="J594" s="6">
        <v>0</v>
      </c>
      <c r="K594" s="6">
        <v>52400</v>
      </c>
      <c r="L594" s="15">
        <v>17400</v>
      </c>
      <c r="M594" s="19">
        <v>587</v>
      </c>
      <c r="N594" s="7" t="s">
        <v>243</v>
      </c>
      <c r="O594" s="20" t="s">
        <v>245</v>
      </c>
      <c r="P594" s="20" t="s">
        <v>245</v>
      </c>
      <c r="Q594" s="20" t="s">
        <v>245</v>
      </c>
      <c r="R594" s="21">
        <v>42745</v>
      </c>
      <c r="S594" s="22" t="s">
        <v>246</v>
      </c>
      <c r="T594" s="22">
        <v>2016</v>
      </c>
      <c r="U594" s="21">
        <v>42735</v>
      </c>
      <c r="V594" s="22"/>
    </row>
    <row r="595" spans="1:22" ht="19.5" customHeight="1" x14ac:dyDescent="0.3">
      <c r="A595" s="3">
        <v>2016</v>
      </c>
      <c r="B595" s="4">
        <v>42644</v>
      </c>
      <c r="C595" s="3">
        <v>5000</v>
      </c>
      <c r="D595" s="7" t="s">
        <v>233</v>
      </c>
      <c r="E595" s="6">
        <v>0</v>
      </c>
      <c r="F595" s="6">
        <v>66120</v>
      </c>
      <c r="G595" s="15">
        <v>66120</v>
      </c>
      <c r="H595" s="3">
        <v>5500</v>
      </c>
      <c r="I595" s="7" t="s">
        <v>233</v>
      </c>
      <c r="J595" s="6">
        <v>0</v>
      </c>
      <c r="K595" s="6">
        <v>66120</v>
      </c>
      <c r="L595" s="15">
        <v>66120</v>
      </c>
      <c r="M595" s="23">
        <v>588</v>
      </c>
      <c r="N595" s="7" t="s">
        <v>243</v>
      </c>
      <c r="O595" s="20" t="s">
        <v>245</v>
      </c>
      <c r="P595" s="20" t="s">
        <v>245</v>
      </c>
      <c r="Q595" s="20" t="s">
        <v>245</v>
      </c>
      <c r="R595" s="21">
        <v>42745</v>
      </c>
      <c r="S595" s="22" t="s">
        <v>246</v>
      </c>
      <c r="T595" s="22">
        <v>2016</v>
      </c>
      <c r="U595" s="21">
        <v>42735</v>
      </c>
      <c r="V595" s="22"/>
    </row>
    <row r="596" spans="1:22" ht="19.5" customHeight="1" x14ac:dyDescent="0.3">
      <c r="A596" s="3">
        <v>2016</v>
      </c>
      <c r="B596" s="4">
        <v>42644</v>
      </c>
      <c r="C596" s="3">
        <v>5000</v>
      </c>
      <c r="D596" s="10" t="s">
        <v>227</v>
      </c>
      <c r="E596" s="6">
        <v>0</v>
      </c>
      <c r="F596" s="6">
        <f>21390.4+8410.35</f>
        <v>29800.75</v>
      </c>
      <c r="G596" s="15">
        <v>29800.75</v>
      </c>
      <c r="H596" s="3">
        <v>5600</v>
      </c>
      <c r="I596" s="10" t="s">
        <v>227</v>
      </c>
      <c r="J596" s="6">
        <v>0</v>
      </c>
      <c r="K596" s="6">
        <f>21390.4+8410.35</f>
        <v>29800.75</v>
      </c>
      <c r="L596" s="15">
        <v>29800.75</v>
      </c>
      <c r="M596" s="19">
        <v>589</v>
      </c>
      <c r="N596" s="7" t="s">
        <v>243</v>
      </c>
      <c r="O596" s="20" t="s">
        <v>245</v>
      </c>
      <c r="P596" s="20" t="s">
        <v>245</v>
      </c>
      <c r="Q596" s="20" t="s">
        <v>245</v>
      </c>
      <c r="R596" s="21">
        <v>42745</v>
      </c>
      <c r="S596" s="22" t="s">
        <v>246</v>
      </c>
      <c r="T596" s="22">
        <v>2016</v>
      </c>
      <c r="U596" s="21">
        <v>42735</v>
      </c>
      <c r="V596" s="22"/>
    </row>
    <row r="597" spans="1:22" ht="19.5" customHeight="1" x14ac:dyDescent="0.3">
      <c r="A597" s="3">
        <v>2016</v>
      </c>
      <c r="B597" s="4">
        <v>42644</v>
      </c>
      <c r="C597" s="3">
        <v>5000</v>
      </c>
      <c r="D597" s="7" t="s">
        <v>204</v>
      </c>
      <c r="E597" s="6">
        <v>181488.98</v>
      </c>
      <c r="F597" s="6">
        <f>277132.64+19000000+193236.73</f>
        <v>19470369.370000001</v>
      </c>
      <c r="G597" s="15">
        <v>437332.57</v>
      </c>
      <c r="H597" s="3">
        <v>5600</v>
      </c>
      <c r="I597" s="7" t="s">
        <v>204</v>
      </c>
      <c r="J597" s="6">
        <v>181488.98</v>
      </c>
      <c r="K597" s="6">
        <f>277132.64+19000000+193236.73</f>
        <v>19470369.370000001</v>
      </c>
      <c r="L597" s="15">
        <v>437332.57</v>
      </c>
      <c r="M597" s="23">
        <v>590</v>
      </c>
      <c r="N597" s="7" t="s">
        <v>243</v>
      </c>
      <c r="O597" s="20" t="s">
        <v>245</v>
      </c>
      <c r="P597" s="20" t="s">
        <v>245</v>
      </c>
      <c r="Q597" s="20" t="s">
        <v>245</v>
      </c>
      <c r="R597" s="21">
        <v>42745</v>
      </c>
      <c r="S597" s="22" t="s">
        <v>246</v>
      </c>
      <c r="T597" s="22">
        <v>2016</v>
      </c>
      <c r="U597" s="21">
        <v>42735</v>
      </c>
      <c r="V597" s="22"/>
    </row>
    <row r="598" spans="1:22" ht="19.5" customHeight="1" x14ac:dyDescent="0.3">
      <c r="A598" s="3">
        <v>2016</v>
      </c>
      <c r="B598" s="4">
        <v>42644</v>
      </c>
      <c r="C598" s="3">
        <v>5000</v>
      </c>
      <c r="D598" s="7" t="s">
        <v>205</v>
      </c>
      <c r="E598" s="6">
        <v>0</v>
      </c>
      <c r="F598" s="6">
        <v>25.09</v>
      </c>
      <c r="G598" s="15">
        <v>0</v>
      </c>
      <c r="H598" s="3">
        <v>5600</v>
      </c>
      <c r="I598" s="7" t="s">
        <v>205</v>
      </c>
      <c r="J598" s="6">
        <v>0</v>
      </c>
      <c r="K598" s="6">
        <v>25.09</v>
      </c>
      <c r="L598" s="15">
        <v>0</v>
      </c>
      <c r="M598" s="19">
        <v>591</v>
      </c>
      <c r="N598" s="7" t="s">
        <v>243</v>
      </c>
      <c r="O598" s="20" t="s">
        <v>245</v>
      </c>
      <c r="P598" s="20" t="s">
        <v>245</v>
      </c>
      <c r="Q598" s="20" t="s">
        <v>245</v>
      </c>
      <c r="R598" s="21">
        <v>42745</v>
      </c>
      <c r="S598" s="22" t="s">
        <v>246</v>
      </c>
      <c r="T598" s="22">
        <v>2016</v>
      </c>
      <c r="U598" s="21">
        <v>42735</v>
      </c>
      <c r="V598" s="22"/>
    </row>
    <row r="599" spans="1:22" ht="19.5" customHeight="1" x14ac:dyDescent="0.3">
      <c r="A599" s="3">
        <v>2016</v>
      </c>
      <c r="B599" s="4">
        <v>42644</v>
      </c>
      <c r="C599" s="3">
        <v>5000</v>
      </c>
      <c r="D599" s="7" t="s">
        <v>206</v>
      </c>
      <c r="E599" s="6">
        <v>41484.94</v>
      </c>
      <c r="F599" s="6">
        <f>486119.75+119195.7</f>
        <v>605315.44999999995</v>
      </c>
      <c r="G599" s="15">
        <v>514056</v>
      </c>
      <c r="H599" s="3">
        <v>5600</v>
      </c>
      <c r="I599" s="7" t="s">
        <v>206</v>
      </c>
      <c r="J599" s="6">
        <v>41484.94</v>
      </c>
      <c r="K599" s="6">
        <f>486119.75+119195.7</f>
        <v>605315.44999999995</v>
      </c>
      <c r="L599" s="15">
        <v>514056</v>
      </c>
      <c r="M599" s="23">
        <v>592</v>
      </c>
      <c r="N599" s="7" t="s">
        <v>243</v>
      </c>
      <c r="O599" s="20" t="s">
        <v>245</v>
      </c>
      <c r="P599" s="20" t="s">
        <v>245</v>
      </c>
      <c r="Q599" s="20" t="s">
        <v>245</v>
      </c>
      <c r="R599" s="21">
        <v>42745</v>
      </c>
      <c r="S599" s="22" t="s">
        <v>246</v>
      </c>
      <c r="T599" s="22">
        <v>2016</v>
      </c>
      <c r="U599" s="21">
        <v>42735</v>
      </c>
      <c r="V599" s="22"/>
    </row>
    <row r="600" spans="1:22" ht="19.5" customHeight="1" x14ac:dyDescent="0.3">
      <c r="A600" s="3">
        <v>2016</v>
      </c>
      <c r="B600" s="4">
        <v>42644</v>
      </c>
      <c r="C600" s="3">
        <v>5000</v>
      </c>
      <c r="D600" s="7" t="s">
        <v>207</v>
      </c>
      <c r="E600" s="6">
        <v>12324.56</v>
      </c>
      <c r="F600" s="6">
        <f>987183.68+26997711.2+1597693.73</f>
        <v>29582588.609999999</v>
      </c>
      <c r="G600" s="15">
        <v>968796.79</v>
      </c>
      <c r="H600" s="3">
        <v>5600</v>
      </c>
      <c r="I600" s="7" t="s">
        <v>207</v>
      </c>
      <c r="J600" s="6">
        <v>12324.56</v>
      </c>
      <c r="K600" s="6">
        <f>987183.68+26997711.2+1597693.73</f>
        <v>29582588.609999999</v>
      </c>
      <c r="L600" s="15">
        <v>968796.79</v>
      </c>
      <c r="M600" s="19">
        <v>593</v>
      </c>
      <c r="N600" s="7" t="s">
        <v>243</v>
      </c>
      <c r="O600" s="20" t="s">
        <v>245</v>
      </c>
      <c r="P600" s="20" t="s">
        <v>245</v>
      </c>
      <c r="Q600" s="20" t="s">
        <v>245</v>
      </c>
      <c r="R600" s="21">
        <v>42745</v>
      </c>
      <c r="S600" s="22" t="s">
        <v>246</v>
      </c>
      <c r="T600" s="22">
        <v>2016</v>
      </c>
      <c r="U600" s="21">
        <v>42735</v>
      </c>
      <c r="V600" s="22"/>
    </row>
    <row r="601" spans="1:22" ht="19.5" customHeight="1" x14ac:dyDescent="0.3">
      <c r="A601" s="3">
        <v>2016</v>
      </c>
      <c r="B601" s="4">
        <v>42644</v>
      </c>
      <c r="C601" s="3">
        <v>5000</v>
      </c>
      <c r="D601" s="7" t="s">
        <v>208</v>
      </c>
      <c r="E601" s="6">
        <v>0</v>
      </c>
      <c r="F601" s="6">
        <v>390189.43</v>
      </c>
      <c r="G601" s="15">
        <v>169424.85</v>
      </c>
      <c r="H601" s="3">
        <v>5600</v>
      </c>
      <c r="I601" s="7" t="s">
        <v>208</v>
      </c>
      <c r="J601" s="6">
        <v>0</v>
      </c>
      <c r="K601" s="6">
        <v>390189.43</v>
      </c>
      <c r="L601" s="15">
        <v>169424.85</v>
      </c>
      <c r="M601" s="23">
        <v>594</v>
      </c>
      <c r="N601" s="7" t="s">
        <v>243</v>
      </c>
      <c r="O601" s="20" t="s">
        <v>245</v>
      </c>
      <c r="P601" s="20" t="s">
        <v>245</v>
      </c>
      <c r="Q601" s="20" t="s">
        <v>245</v>
      </c>
      <c r="R601" s="21">
        <v>42745</v>
      </c>
      <c r="S601" s="22" t="s">
        <v>246</v>
      </c>
      <c r="T601" s="22">
        <v>2016</v>
      </c>
      <c r="U601" s="21">
        <v>42735</v>
      </c>
      <c r="V601" s="22"/>
    </row>
    <row r="602" spans="1:22" ht="19.5" customHeight="1" x14ac:dyDescent="0.3">
      <c r="A602" s="3">
        <v>2016</v>
      </c>
      <c r="B602" s="4">
        <v>42644</v>
      </c>
      <c r="C602" s="3">
        <v>5000</v>
      </c>
      <c r="D602" s="7" t="s">
        <v>209</v>
      </c>
      <c r="E602" s="6">
        <v>3200</v>
      </c>
      <c r="F602" s="6">
        <f>17990.82+47881.32</f>
        <v>65872.14</v>
      </c>
      <c r="G602" s="15">
        <v>61911.520000000004</v>
      </c>
      <c r="H602" s="3">
        <v>5600</v>
      </c>
      <c r="I602" s="7" t="s">
        <v>209</v>
      </c>
      <c r="J602" s="6">
        <v>3200</v>
      </c>
      <c r="K602" s="6">
        <f>17990.82+47881.32</f>
        <v>65872.14</v>
      </c>
      <c r="L602" s="15">
        <v>61911.520000000004</v>
      </c>
      <c r="M602" s="19">
        <v>595</v>
      </c>
      <c r="N602" s="7" t="s">
        <v>243</v>
      </c>
      <c r="O602" s="20" t="s">
        <v>245</v>
      </c>
      <c r="P602" s="20" t="s">
        <v>245</v>
      </c>
      <c r="Q602" s="20" t="s">
        <v>245</v>
      </c>
      <c r="R602" s="21">
        <v>42745</v>
      </c>
      <c r="S602" s="22" t="s">
        <v>246</v>
      </c>
      <c r="T602" s="22">
        <v>2016</v>
      </c>
      <c r="U602" s="21">
        <v>42735</v>
      </c>
      <c r="V602" s="22"/>
    </row>
    <row r="603" spans="1:22" ht="19.5" customHeight="1" x14ac:dyDescent="0.3">
      <c r="A603" s="3">
        <v>2016</v>
      </c>
      <c r="B603" s="4">
        <v>42644</v>
      </c>
      <c r="C603" s="3">
        <v>5000</v>
      </c>
      <c r="D603" s="7" t="s">
        <v>210</v>
      </c>
      <c r="E603" s="6">
        <v>19368</v>
      </c>
      <c r="F603" s="6">
        <f>49179.23+56723.53</f>
        <v>105902.76000000001</v>
      </c>
      <c r="G603" s="15">
        <v>55794.38</v>
      </c>
      <c r="H603" s="3">
        <v>5600</v>
      </c>
      <c r="I603" s="7" t="s">
        <v>210</v>
      </c>
      <c r="J603" s="6">
        <v>19368</v>
      </c>
      <c r="K603" s="6">
        <f>49179.23+56723.53</f>
        <v>105902.76000000001</v>
      </c>
      <c r="L603" s="15">
        <v>55794.38</v>
      </c>
      <c r="M603" s="23">
        <v>596</v>
      </c>
      <c r="N603" s="7" t="s">
        <v>243</v>
      </c>
      <c r="O603" s="20" t="s">
        <v>245</v>
      </c>
      <c r="P603" s="20" t="s">
        <v>245</v>
      </c>
      <c r="Q603" s="20" t="s">
        <v>245</v>
      </c>
      <c r="R603" s="21">
        <v>42745</v>
      </c>
      <c r="S603" s="22" t="s">
        <v>246</v>
      </c>
      <c r="T603" s="22">
        <v>2016</v>
      </c>
      <c r="U603" s="21">
        <v>42735</v>
      </c>
      <c r="V603" s="22"/>
    </row>
    <row r="604" spans="1:22" ht="19.5" customHeight="1" x14ac:dyDescent="0.3">
      <c r="A604" s="3">
        <v>2016</v>
      </c>
      <c r="B604" s="4">
        <v>42644</v>
      </c>
      <c r="C604" s="3">
        <v>5000</v>
      </c>
      <c r="D604" s="7" t="s">
        <v>234</v>
      </c>
      <c r="E604" s="6">
        <v>0</v>
      </c>
      <c r="F604" s="6">
        <v>20800</v>
      </c>
      <c r="G604" s="15">
        <v>0</v>
      </c>
      <c r="H604" s="3">
        <v>5700</v>
      </c>
      <c r="I604" s="7" t="s">
        <v>234</v>
      </c>
      <c r="J604" s="6">
        <v>0</v>
      </c>
      <c r="K604" s="6">
        <v>20800</v>
      </c>
      <c r="L604" s="15">
        <v>0</v>
      </c>
      <c r="M604" s="19">
        <v>597</v>
      </c>
      <c r="N604" s="7" t="s">
        <v>243</v>
      </c>
      <c r="O604" s="20" t="s">
        <v>245</v>
      </c>
      <c r="P604" s="20" t="s">
        <v>245</v>
      </c>
      <c r="Q604" s="20" t="s">
        <v>245</v>
      </c>
      <c r="R604" s="21">
        <v>42745</v>
      </c>
      <c r="S604" s="22" t="s">
        <v>246</v>
      </c>
      <c r="T604" s="22">
        <v>2016</v>
      </c>
      <c r="U604" s="21">
        <v>42735</v>
      </c>
      <c r="V604" s="22"/>
    </row>
    <row r="605" spans="1:22" ht="19.5" customHeight="1" x14ac:dyDescent="0.3">
      <c r="A605" s="3">
        <v>2016</v>
      </c>
      <c r="B605" s="4">
        <v>42644</v>
      </c>
      <c r="C605" s="3">
        <v>5000</v>
      </c>
      <c r="D605" s="7" t="s">
        <v>211</v>
      </c>
      <c r="E605" s="6">
        <v>0</v>
      </c>
      <c r="F605" s="6">
        <f>16000000+15000000</f>
        <v>31000000</v>
      </c>
      <c r="G605" s="15">
        <v>0</v>
      </c>
      <c r="H605" s="3">
        <v>5800</v>
      </c>
      <c r="I605" s="7" t="s">
        <v>211</v>
      </c>
      <c r="J605" s="6">
        <v>0</v>
      </c>
      <c r="K605" s="6">
        <f>16000000+15000000</f>
        <v>31000000</v>
      </c>
      <c r="L605" s="15">
        <v>0</v>
      </c>
      <c r="M605" s="23">
        <v>598</v>
      </c>
      <c r="N605" s="7" t="s">
        <v>243</v>
      </c>
      <c r="O605" s="20" t="s">
        <v>245</v>
      </c>
      <c r="P605" s="20" t="s">
        <v>245</v>
      </c>
      <c r="Q605" s="20" t="s">
        <v>245</v>
      </c>
      <c r="R605" s="21">
        <v>42745</v>
      </c>
      <c r="S605" s="22" t="s">
        <v>246</v>
      </c>
      <c r="T605" s="22">
        <v>2016</v>
      </c>
      <c r="U605" s="21">
        <v>42735</v>
      </c>
      <c r="V605" s="22"/>
    </row>
    <row r="606" spans="1:22" ht="19.5" customHeight="1" x14ac:dyDescent="0.3">
      <c r="A606" s="3">
        <v>2016</v>
      </c>
      <c r="B606" s="4">
        <v>42644</v>
      </c>
      <c r="C606" s="3">
        <v>5000</v>
      </c>
      <c r="D606" s="7" t="s">
        <v>212</v>
      </c>
      <c r="E606" s="6">
        <v>171190</v>
      </c>
      <c r="F606" s="6">
        <v>358925.86</v>
      </c>
      <c r="G606" s="15">
        <v>192208.66999999998</v>
      </c>
      <c r="H606" s="3">
        <v>5900</v>
      </c>
      <c r="I606" s="7" t="s">
        <v>212</v>
      </c>
      <c r="J606" s="6">
        <v>171190</v>
      </c>
      <c r="K606" s="6">
        <v>358925.86</v>
      </c>
      <c r="L606" s="15">
        <v>192208.66999999998</v>
      </c>
      <c r="M606" s="19">
        <v>599</v>
      </c>
      <c r="N606" s="7" t="s">
        <v>243</v>
      </c>
      <c r="O606" s="20" t="s">
        <v>245</v>
      </c>
      <c r="P606" s="20" t="s">
        <v>245</v>
      </c>
      <c r="Q606" s="20" t="s">
        <v>245</v>
      </c>
      <c r="R606" s="21">
        <v>42745</v>
      </c>
      <c r="S606" s="22" t="s">
        <v>246</v>
      </c>
      <c r="T606" s="22">
        <v>2016</v>
      </c>
      <c r="U606" s="21">
        <v>42735</v>
      </c>
      <c r="V606" s="22"/>
    </row>
    <row r="607" spans="1:22" ht="19.5" customHeight="1" x14ac:dyDescent="0.3">
      <c r="A607" s="3">
        <v>2016</v>
      </c>
      <c r="B607" s="4">
        <v>42644</v>
      </c>
      <c r="C607" s="3">
        <v>5000</v>
      </c>
      <c r="D607" s="7" t="s">
        <v>213</v>
      </c>
      <c r="E607" s="6">
        <v>10000</v>
      </c>
      <c r="F607" s="6">
        <v>5800</v>
      </c>
      <c r="G607" s="15">
        <v>5611.5</v>
      </c>
      <c r="H607" s="3">
        <v>5900</v>
      </c>
      <c r="I607" s="7" t="s">
        <v>213</v>
      </c>
      <c r="J607" s="6">
        <v>10000</v>
      </c>
      <c r="K607" s="6">
        <v>5800</v>
      </c>
      <c r="L607" s="15">
        <v>5611.5</v>
      </c>
      <c r="M607" s="23">
        <v>600</v>
      </c>
      <c r="N607" s="7" t="s">
        <v>243</v>
      </c>
      <c r="O607" s="20" t="s">
        <v>245</v>
      </c>
      <c r="P607" s="20" t="s">
        <v>245</v>
      </c>
      <c r="Q607" s="20" t="s">
        <v>245</v>
      </c>
      <c r="R607" s="21">
        <v>42745</v>
      </c>
      <c r="S607" s="22" t="s">
        <v>246</v>
      </c>
      <c r="T607" s="22">
        <v>2016</v>
      </c>
      <c r="U607" s="21">
        <v>42735</v>
      </c>
      <c r="V607" s="22"/>
    </row>
    <row r="608" spans="1:22" ht="19.5" customHeight="1" x14ac:dyDescent="0.3">
      <c r="A608" s="3">
        <v>2016</v>
      </c>
      <c r="B608" s="4">
        <v>42644</v>
      </c>
      <c r="C608" s="3">
        <v>6000</v>
      </c>
      <c r="D608" s="7" t="s">
        <v>214</v>
      </c>
      <c r="E608" s="13">
        <v>0</v>
      </c>
      <c r="F608" s="13">
        <f>49000000+125150000+116343628.95</f>
        <v>290493628.94999999</v>
      </c>
      <c r="G608" s="14">
        <v>211894640.83999997</v>
      </c>
      <c r="H608" s="3">
        <v>6200</v>
      </c>
      <c r="I608" s="7" t="s">
        <v>214</v>
      </c>
      <c r="J608" s="13">
        <v>0</v>
      </c>
      <c r="K608" s="13">
        <f>49000000+125150000+116343628.95</f>
        <v>290493628.94999999</v>
      </c>
      <c r="L608" s="14">
        <v>211894640.83999997</v>
      </c>
      <c r="M608" s="19">
        <v>601</v>
      </c>
      <c r="N608" s="7" t="s">
        <v>244</v>
      </c>
      <c r="O608" s="20" t="s">
        <v>245</v>
      </c>
      <c r="P608" s="20" t="s">
        <v>245</v>
      </c>
      <c r="Q608" s="20" t="s">
        <v>245</v>
      </c>
      <c r="R608" s="21">
        <v>42745</v>
      </c>
      <c r="S608" s="22" t="s">
        <v>246</v>
      </c>
      <c r="T608" s="22">
        <v>2016</v>
      </c>
      <c r="U608" s="21">
        <v>42735</v>
      </c>
      <c r="V608" s="22"/>
    </row>
    <row r="609" spans="1:22" ht="19.5" customHeight="1" x14ac:dyDescent="0.3">
      <c r="A609" s="3">
        <v>2016</v>
      </c>
      <c r="B609" s="4">
        <v>42644</v>
      </c>
      <c r="C609" s="3">
        <v>6000</v>
      </c>
      <c r="D609" s="7" t="s">
        <v>235</v>
      </c>
      <c r="E609" s="13">
        <v>0</v>
      </c>
      <c r="F609" s="13">
        <v>783860.19</v>
      </c>
      <c r="G609" s="14">
        <v>313457.65000000002</v>
      </c>
      <c r="H609" s="3">
        <v>6200</v>
      </c>
      <c r="I609" s="7" t="s">
        <v>235</v>
      </c>
      <c r="J609" s="13">
        <v>0</v>
      </c>
      <c r="K609" s="13">
        <v>783860.19</v>
      </c>
      <c r="L609" s="14">
        <v>313457.65000000002</v>
      </c>
      <c r="M609" s="23">
        <v>602</v>
      </c>
      <c r="N609" s="7" t="s">
        <v>244</v>
      </c>
      <c r="O609" s="20" t="s">
        <v>245</v>
      </c>
      <c r="P609" s="20" t="s">
        <v>245</v>
      </c>
      <c r="Q609" s="20" t="s">
        <v>245</v>
      </c>
      <c r="R609" s="21">
        <v>42745</v>
      </c>
      <c r="S609" s="22" t="s">
        <v>246</v>
      </c>
      <c r="T609" s="22">
        <v>2016</v>
      </c>
      <c r="U609" s="21">
        <v>42735</v>
      </c>
      <c r="V609" s="22"/>
    </row>
    <row r="610" spans="1:22" ht="19.5" customHeight="1" x14ac:dyDescent="0.3">
      <c r="A610" s="3">
        <v>2016</v>
      </c>
      <c r="B610" s="4">
        <v>42644</v>
      </c>
      <c r="C610" s="3">
        <v>6000</v>
      </c>
      <c r="D610" s="7" t="s">
        <v>215</v>
      </c>
      <c r="E610" s="13">
        <v>0</v>
      </c>
      <c r="F610" s="13">
        <v>8704301.0999999996</v>
      </c>
      <c r="G610" s="14">
        <v>6962645.6299999999</v>
      </c>
      <c r="H610" s="3">
        <v>6200</v>
      </c>
      <c r="I610" s="7" t="s">
        <v>215</v>
      </c>
      <c r="J610" s="13">
        <v>0</v>
      </c>
      <c r="K610" s="13">
        <v>8704301.0999999996</v>
      </c>
      <c r="L610" s="14">
        <v>6962645.6299999999</v>
      </c>
      <c r="M610" s="19">
        <v>603</v>
      </c>
      <c r="N610" s="7" t="s">
        <v>244</v>
      </c>
      <c r="O610" s="20" t="s">
        <v>245</v>
      </c>
      <c r="P610" s="20" t="s">
        <v>245</v>
      </c>
      <c r="Q610" s="20" t="s">
        <v>245</v>
      </c>
      <c r="R610" s="21">
        <v>42745</v>
      </c>
      <c r="S610" s="22" t="s">
        <v>246</v>
      </c>
      <c r="T610" s="22">
        <v>2016</v>
      </c>
      <c r="U610" s="21">
        <v>42735</v>
      </c>
      <c r="V610" s="22"/>
    </row>
    <row r="611" spans="1:22" ht="19.5" customHeight="1" x14ac:dyDescent="0.3">
      <c r="A611" s="24">
        <v>2017</v>
      </c>
      <c r="B611" s="25">
        <v>42736</v>
      </c>
      <c r="C611" s="24">
        <v>1000</v>
      </c>
      <c r="D611" s="8" t="s">
        <v>72</v>
      </c>
      <c r="E611" s="26">
        <v>307975833</v>
      </c>
      <c r="F611" s="26">
        <v>304891748.74000001</v>
      </c>
      <c r="G611" s="27">
        <v>96646356.75</v>
      </c>
      <c r="H611" s="24">
        <v>1100</v>
      </c>
      <c r="I611" s="8" t="s">
        <v>72</v>
      </c>
      <c r="J611" s="26">
        <v>82558700.299999997</v>
      </c>
      <c r="K611" s="26">
        <v>82558700.299999997</v>
      </c>
      <c r="L611" s="26">
        <v>82558700.299999997</v>
      </c>
      <c r="M611" s="28">
        <v>1</v>
      </c>
      <c r="N611" s="8" t="s">
        <v>247</v>
      </c>
      <c r="O611" s="29" t="s">
        <v>245</v>
      </c>
      <c r="P611" s="29" t="s">
        <v>245</v>
      </c>
      <c r="Q611" s="29" t="s">
        <v>245</v>
      </c>
      <c r="R611" s="30">
        <v>42835</v>
      </c>
      <c r="S611" s="31" t="s">
        <v>246</v>
      </c>
      <c r="T611" s="32">
        <v>2017</v>
      </c>
      <c r="U611" s="33">
        <v>42824</v>
      </c>
      <c r="V611" s="31"/>
    </row>
    <row r="612" spans="1:22" ht="19.5" customHeight="1" x14ac:dyDescent="0.3">
      <c r="A612" s="34">
        <v>2017</v>
      </c>
      <c r="B612" s="35">
        <v>42736</v>
      </c>
      <c r="C612" s="34">
        <v>1000</v>
      </c>
      <c r="D612" s="7" t="s">
        <v>73</v>
      </c>
      <c r="E612" s="6">
        <v>10086250.17</v>
      </c>
      <c r="F612" s="6">
        <v>10086250.17</v>
      </c>
      <c r="G612" s="36">
        <v>2641922.2800000003</v>
      </c>
      <c r="H612" s="34">
        <v>1200</v>
      </c>
      <c r="I612" s="7" t="s">
        <v>73</v>
      </c>
      <c r="J612" s="6">
        <v>2209644.6</v>
      </c>
      <c r="K612" s="6">
        <v>2209644.6</v>
      </c>
      <c r="L612" s="6">
        <v>2209644.6</v>
      </c>
      <c r="M612" s="37">
        <v>2</v>
      </c>
      <c r="N612" s="8" t="s">
        <v>247</v>
      </c>
      <c r="O612" s="29" t="s">
        <v>245</v>
      </c>
      <c r="P612" s="29" t="s">
        <v>245</v>
      </c>
      <c r="Q612" s="29" t="s">
        <v>245</v>
      </c>
      <c r="R612" s="30">
        <v>42835</v>
      </c>
      <c r="S612" s="31" t="s">
        <v>246</v>
      </c>
      <c r="T612" s="32">
        <v>2017</v>
      </c>
      <c r="U612" s="33">
        <v>42824</v>
      </c>
      <c r="V612" s="32"/>
    </row>
    <row r="613" spans="1:22" ht="19.5" customHeight="1" x14ac:dyDescent="0.3">
      <c r="A613" s="34">
        <v>2017</v>
      </c>
      <c r="B613" s="35">
        <v>42736</v>
      </c>
      <c r="C613" s="34">
        <v>1000</v>
      </c>
      <c r="D613" s="8" t="s">
        <v>75</v>
      </c>
      <c r="E613" s="6">
        <v>26640470.120000001</v>
      </c>
      <c r="F613" s="6">
        <v>26640470.120000001</v>
      </c>
      <c r="G613" s="36">
        <v>37770.22</v>
      </c>
      <c r="H613" s="34">
        <v>1300</v>
      </c>
      <c r="I613" s="8" t="s">
        <v>75</v>
      </c>
      <c r="J613" s="6">
        <v>37770.22</v>
      </c>
      <c r="K613" s="6">
        <v>37770.22</v>
      </c>
      <c r="L613" s="6">
        <v>37770.22</v>
      </c>
      <c r="M613" s="28">
        <v>3</v>
      </c>
      <c r="N613" s="8" t="s">
        <v>247</v>
      </c>
      <c r="O613" s="29" t="s">
        <v>245</v>
      </c>
      <c r="P613" s="29" t="s">
        <v>245</v>
      </c>
      <c r="Q613" s="29" t="s">
        <v>245</v>
      </c>
      <c r="R613" s="30">
        <v>42835</v>
      </c>
      <c r="S613" s="31" t="s">
        <v>246</v>
      </c>
      <c r="T613" s="32">
        <v>2017</v>
      </c>
      <c r="U613" s="33">
        <v>42824</v>
      </c>
      <c r="V613" s="32"/>
    </row>
    <row r="614" spans="1:22" ht="19.5" customHeight="1" x14ac:dyDescent="0.3">
      <c r="A614" s="34">
        <v>2017</v>
      </c>
      <c r="B614" s="35">
        <v>42736</v>
      </c>
      <c r="C614" s="34">
        <v>1000</v>
      </c>
      <c r="D614" s="8" t="s">
        <v>76</v>
      </c>
      <c r="E614" s="6">
        <v>34219537.030000001</v>
      </c>
      <c r="F614" s="6">
        <v>34219537.030000001</v>
      </c>
      <c r="G614" s="36">
        <v>48334.29</v>
      </c>
      <c r="H614" s="34">
        <v>1300</v>
      </c>
      <c r="I614" s="8" t="s">
        <v>76</v>
      </c>
      <c r="J614" s="6">
        <v>48334.29</v>
      </c>
      <c r="K614" s="6">
        <v>48334.29</v>
      </c>
      <c r="L614" s="6">
        <v>48334.29</v>
      </c>
      <c r="M614" s="37">
        <v>4</v>
      </c>
      <c r="N614" s="8" t="s">
        <v>247</v>
      </c>
      <c r="O614" s="29" t="s">
        <v>245</v>
      </c>
      <c r="P614" s="29" t="s">
        <v>245</v>
      </c>
      <c r="Q614" s="29" t="s">
        <v>245</v>
      </c>
      <c r="R614" s="30">
        <v>42835</v>
      </c>
      <c r="S614" s="31" t="s">
        <v>246</v>
      </c>
      <c r="T614" s="32">
        <v>2017</v>
      </c>
      <c r="U614" s="33">
        <v>42824</v>
      </c>
      <c r="V614" s="32"/>
    </row>
    <row r="615" spans="1:22" ht="19.5" customHeight="1" x14ac:dyDescent="0.3">
      <c r="A615" s="34">
        <v>2017</v>
      </c>
      <c r="B615" s="35">
        <v>42736</v>
      </c>
      <c r="C615" s="34">
        <v>1000</v>
      </c>
      <c r="D615" s="8" t="s">
        <v>77</v>
      </c>
      <c r="E615" s="6">
        <v>0</v>
      </c>
      <c r="F615" s="6">
        <v>749248.18</v>
      </c>
      <c r="G615" s="36">
        <v>841593.82</v>
      </c>
      <c r="H615" s="34">
        <v>1300</v>
      </c>
      <c r="I615" s="8" t="s">
        <v>77</v>
      </c>
      <c r="J615" s="6">
        <v>749248.18</v>
      </c>
      <c r="K615" s="6">
        <v>749248.18</v>
      </c>
      <c r="L615" s="6">
        <v>749248.18</v>
      </c>
      <c r="M615" s="28">
        <v>5</v>
      </c>
      <c r="N615" s="8" t="s">
        <v>247</v>
      </c>
      <c r="O615" s="29" t="s">
        <v>245</v>
      </c>
      <c r="P615" s="29" t="s">
        <v>245</v>
      </c>
      <c r="Q615" s="29" t="s">
        <v>245</v>
      </c>
      <c r="R615" s="30">
        <v>42835</v>
      </c>
      <c r="S615" s="31" t="s">
        <v>246</v>
      </c>
      <c r="T615" s="32">
        <v>2017</v>
      </c>
      <c r="U615" s="33">
        <v>42824</v>
      </c>
      <c r="V615" s="32"/>
    </row>
    <row r="616" spans="1:22" ht="19.5" customHeight="1" x14ac:dyDescent="0.3">
      <c r="A616" s="34">
        <v>2017</v>
      </c>
      <c r="B616" s="35">
        <v>42736</v>
      </c>
      <c r="C616" s="34">
        <v>1000</v>
      </c>
      <c r="D616" s="8" t="s">
        <v>78</v>
      </c>
      <c r="E616" s="6">
        <v>0</v>
      </c>
      <c r="F616" s="6">
        <v>48553</v>
      </c>
      <c r="G616" s="36">
        <v>48553</v>
      </c>
      <c r="H616" s="34">
        <v>1300</v>
      </c>
      <c r="I616" s="8" t="s">
        <v>78</v>
      </c>
      <c r="J616" s="6">
        <v>48553</v>
      </c>
      <c r="K616" s="6">
        <v>48553</v>
      </c>
      <c r="L616" s="6">
        <v>48553</v>
      </c>
      <c r="M616" s="37">
        <v>6</v>
      </c>
      <c r="N616" s="8" t="s">
        <v>247</v>
      </c>
      <c r="O616" s="29" t="s">
        <v>245</v>
      </c>
      <c r="P616" s="29" t="s">
        <v>245</v>
      </c>
      <c r="Q616" s="29" t="s">
        <v>245</v>
      </c>
      <c r="R616" s="30">
        <v>42835</v>
      </c>
      <c r="S616" s="31" t="s">
        <v>246</v>
      </c>
      <c r="T616" s="32">
        <v>2017</v>
      </c>
      <c r="U616" s="33">
        <v>42824</v>
      </c>
      <c r="V616" s="32"/>
    </row>
    <row r="617" spans="1:22" ht="19.5" customHeight="1" x14ac:dyDescent="0.3">
      <c r="A617" s="34">
        <v>2017</v>
      </c>
      <c r="B617" s="35">
        <v>42736</v>
      </c>
      <c r="C617" s="34">
        <v>1000</v>
      </c>
      <c r="D617" s="8" t="s">
        <v>79</v>
      </c>
      <c r="E617" s="6">
        <v>30705190.559999999</v>
      </c>
      <c r="F617" s="6">
        <v>30705190.559999999</v>
      </c>
      <c r="G617" s="36">
        <v>9625442.2100000009</v>
      </c>
      <c r="H617" s="34">
        <v>1400</v>
      </c>
      <c r="I617" s="8" t="s">
        <v>79</v>
      </c>
      <c r="J617" s="6">
        <v>8222518.7699999996</v>
      </c>
      <c r="K617" s="6">
        <v>8222518.7699999996</v>
      </c>
      <c r="L617" s="6">
        <v>8222518.7699999996</v>
      </c>
      <c r="M617" s="28">
        <v>7</v>
      </c>
      <c r="N617" s="8" t="s">
        <v>247</v>
      </c>
      <c r="O617" s="29" t="s">
        <v>245</v>
      </c>
      <c r="P617" s="29" t="s">
        <v>245</v>
      </c>
      <c r="Q617" s="29" t="s">
        <v>245</v>
      </c>
      <c r="R617" s="30">
        <v>42835</v>
      </c>
      <c r="S617" s="31" t="s">
        <v>246</v>
      </c>
      <c r="T617" s="32">
        <v>2017</v>
      </c>
      <c r="U617" s="33">
        <v>42824</v>
      </c>
      <c r="V617" s="32"/>
    </row>
    <row r="618" spans="1:22" ht="19.5" customHeight="1" x14ac:dyDescent="0.3">
      <c r="A618" s="34">
        <v>2017</v>
      </c>
      <c r="B618" s="35">
        <v>42736</v>
      </c>
      <c r="C618" s="34">
        <v>1000</v>
      </c>
      <c r="D618" s="8" t="s">
        <v>80</v>
      </c>
      <c r="E618" s="6">
        <v>15398791.65</v>
      </c>
      <c r="F618" s="6">
        <v>15398791.65</v>
      </c>
      <c r="G618" s="36">
        <v>2639664.66</v>
      </c>
      <c r="H618" s="34">
        <v>1400</v>
      </c>
      <c r="I618" s="8" t="s">
        <v>80</v>
      </c>
      <c r="J618" s="6">
        <v>2639664.66</v>
      </c>
      <c r="K618" s="6">
        <v>2639664.66</v>
      </c>
      <c r="L618" s="6">
        <v>2639664.66</v>
      </c>
      <c r="M618" s="37">
        <v>8</v>
      </c>
      <c r="N618" s="8" t="s">
        <v>247</v>
      </c>
      <c r="O618" s="29" t="s">
        <v>245</v>
      </c>
      <c r="P618" s="29" t="s">
        <v>245</v>
      </c>
      <c r="Q618" s="29" t="s">
        <v>245</v>
      </c>
      <c r="R618" s="30">
        <v>42835</v>
      </c>
      <c r="S618" s="31" t="s">
        <v>246</v>
      </c>
      <c r="T618" s="32">
        <v>2017</v>
      </c>
      <c r="U618" s="33">
        <v>42824</v>
      </c>
      <c r="V618" s="32"/>
    </row>
    <row r="619" spans="1:22" ht="19.5" customHeight="1" x14ac:dyDescent="0.3">
      <c r="A619" s="34">
        <v>2017</v>
      </c>
      <c r="B619" s="35">
        <v>42736</v>
      </c>
      <c r="C619" s="34">
        <v>1000</v>
      </c>
      <c r="D619" s="8" t="s">
        <v>81</v>
      </c>
      <c r="E619" s="6">
        <v>15937749.35</v>
      </c>
      <c r="F619" s="6">
        <v>15937749.35</v>
      </c>
      <c r="G619" s="36">
        <v>3049898.91</v>
      </c>
      <c r="H619" s="34">
        <v>1400</v>
      </c>
      <c r="I619" s="8" t="s">
        <v>81</v>
      </c>
      <c r="J619" s="6">
        <v>3049898.91</v>
      </c>
      <c r="K619" s="6">
        <v>3049898.91</v>
      </c>
      <c r="L619" s="6">
        <v>3049898.91</v>
      </c>
      <c r="M619" s="28">
        <v>9</v>
      </c>
      <c r="N619" s="8" t="s">
        <v>247</v>
      </c>
      <c r="O619" s="29" t="s">
        <v>245</v>
      </c>
      <c r="P619" s="29" t="s">
        <v>245</v>
      </c>
      <c r="Q619" s="29" t="s">
        <v>245</v>
      </c>
      <c r="R619" s="30">
        <v>42835</v>
      </c>
      <c r="S619" s="31" t="s">
        <v>246</v>
      </c>
      <c r="T619" s="32">
        <v>2017</v>
      </c>
      <c r="U619" s="33">
        <v>42824</v>
      </c>
      <c r="V619" s="32"/>
    </row>
    <row r="620" spans="1:22" ht="19.5" customHeight="1" x14ac:dyDescent="0.3">
      <c r="A620" s="34">
        <v>2017</v>
      </c>
      <c r="B620" s="35">
        <v>42736</v>
      </c>
      <c r="C620" s="34">
        <v>1000</v>
      </c>
      <c r="D620" s="8" t="s">
        <v>82</v>
      </c>
      <c r="E620" s="6">
        <v>13700813.199999999</v>
      </c>
      <c r="F620" s="6">
        <v>13700813.199999999</v>
      </c>
      <c r="G620" s="36">
        <v>2914353.19</v>
      </c>
      <c r="H620" s="34">
        <v>1400</v>
      </c>
      <c r="I620" s="8" t="s">
        <v>82</v>
      </c>
      <c r="J620" s="6">
        <v>2914353.19</v>
      </c>
      <c r="K620" s="6">
        <v>2914353.19</v>
      </c>
      <c r="L620" s="6">
        <v>2914353.19</v>
      </c>
      <c r="M620" s="37">
        <v>10</v>
      </c>
      <c r="N620" s="8" t="s">
        <v>247</v>
      </c>
      <c r="O620" s="29" t="s">
        <v>245</v>
      </c>
      <c r="P620" s="29" t="s">
        <v>245</v>
      </c>
      <c r="Q620" s="29" t="s">
        <v>245</v>
      </c>
      <c r="R620" s="30">
        <v>42835</v>
      </c>
      <c r="S620" s="31" t="s">
        <v>246</v>
      </c>
      <c r="T620" s="32">
        <v>2017</v>
      </c>
      <c r="U620" s="33">
        <v>42824</v>
      </c>
      <c r="V620" s="32"/>
    </row>
    <row r="621" spans="1:22" ht="19.5" customHeight="1" x14ac:dyDescent="0.3">
      <c r="A621" s="34">
        <v>2017</v>
      </c>
      <c r="B621" s="35">
        <v>42736</v>
      </c>
      <c r="C621" s="34">
        <v>1000</v>
      </c>
      <c r="D621" s="8" t="s">
        <v>83</v>
      </c>
      <c r="E621" s="6">
        <v>901623.8</v>
      </c>
      <c r="F621" s="6">
        <v>917182.55</v>
      </c>
      <c r="G621" s="36">
        <v>261456.15</v>
      </c>
      <c r="H621" s="34">
        <v>1400</v>
      </c>
      <c r="I621" s="8" t="s">
        <v>83</v>
      </c>
      <c r="J621" s="6">
        <v>261456.15</v>
      </c>
      <c r="K621" s="6">
        <v>261456.15</v>
      </c>
      <c r="L621" s="6">
        <v>261456.15</v>
      </c>
      <c r="M621" s="28">
        <v>11</v>
      </c>
      <c r="N621" s="8" t="s">
        <v>247</v>
      </c>
      <c r="O621" s="29" t="s">
        <v>245</v>
      </c>
      <c r="P621" s="29" t="s">
        <v>245</v>
      </c>
      <c r="Q621" s="29" t="s">
        <v>245</v>
      </c>
      <c r="R621" s="30">
        <v>42835</v>
      </c>
      <c r="S621" s="31" t="s">
        <v>246</v>
      </c>
      <c r="T621" s="32">
        <v>2017</v>
      </c>
      <c r="U621" s="33">
        <v>42824</v>
      </c>
      <c r="V621" s="32"/>
    </row>
    <row r="622" spans="1:22" ht="19.5" customHeight="1" x14ac:dyDescent="0.3">
      <c r="A622" s="34">
        <v>2017</v>
      </c>
      <c r="B622" s="35">
        <v>42736</v>
      </c>
      <c r="C622" s="34">
        <v>1000</v>
      </c>
      <c r="D622" s="8" t="s">
        <v>84</v>
      </c>
      <c r="E622" s="6">
        <v>0</v>
      </c>
      <c r="F622" s="6">
        <v>2030604.33</v>
      </c>
      <c r="G622" s="36">
        <v>2030604.33</v>
      </c>
      <c r="H622" s="34">
        <v>1500</v>
      </c>
      <c r="I622" s="8" t="s">
        <v>84</v>
      </c>
      <c r="J622" s="6">
        <v>2030604.33</v>
      </c>
      <c r="K622" s="6">
        <v>2030604.33</v>
      </c>
      <c r="L622" s="6">
        <v>2030604.33</v>
      </c>
      <c r="M622" s="37">
        <v>12</v>
      </c>
      <c r="N622" s="8" t="s">
        <v>247</v>
      </c>
      <c r="O622" s="29" t="s">
        <v>245</v>
      </c>
      <c r="P622" s="29" t="s">
        <v>245</v>
      </c>
      <c r="Q622" s="29" t="s">
        <v>245</v>
      </c>
      <c r="R622" s="30">
        <v>42835</v>
      </c>
      <c r="S622" s="31" t="s">
        <v>246</v>
      </c>
      <c r="T622" s="32">
        <v>2017</v>
      </c>
      <c r="U622" s="33">
        <v>42824</v>
      </c>
      <c r="V622" s="32"/>
    </row>
    <row r="623" spans="1:22" ht="19.5" customHeight="1" x14ac:dyDescent="0.3">
      <c r="A623" s="34">
        <v>2017</v>
      </c>
      <c r="B623" s="35">
        <v>42736</v>
      </c>
      <c r="C623" s="34">
        <v>1000</v>
      </c>
      <c r="D623" s="8" t="s">
        <v>85</v>
      </c>
      <c r="E623" s="6">
        <v>5995394.5300000003</v>
      </c>
      <c r="F623" s="6">
        <v>5995394.5300000003</v>
      </c>
      <c r="G623" s="36">
        <v>416870.24</v>
      </c>
      <c r="H623" s="34">
        <v>1500</v>
      </c>
      <c r="I623" s="8" t="s">
        <v>85</v>
      </c>
      <c r="J623" s="6">
        <v>416870.24</v>
      </c>
      <c r="K623" s="6">
        <v>416870.24</v>
      </c>
      <c r="L623" s="6">
        <v>416870.24</v>
      </c>
      <c r="M623" s="28">
        <v>13</v>
      </c>
      <c r="N623" s="8" t="s">
        <v>247</v>
      </c>
      <c r="O623" s="29" t="s">
        <v>245</v>
      </c>
      <c r="P623" s="29" t="s">
        <v>245</v>
      </c>
      <c r="Q623" s="29" t="s">
        <v>245</v>
      </c>
      <c r="R623" s="30">
        <v>42835</v>
      </c>
      <c r="S623" s="31" t="s">
        <v>246</v>
      </c>
      <c r="T623" s="32">
        <v>2017</v>
      </c>
      <c r="U623" s="33">
        <v>42824</v>
      </c>
      <c r="V623" s="32"/>
    </row>
    <row r="624" spans="1:22" ht="19.5" customHeight="1" x14ac:dyDescent="0.3">
      <c r="A624" s="34">
        <v>2017</v>
      </c>
      <c r="B624" s="35">
        <v>42736</v>
      </c>
      <c r="C624" s="34">
        <v>1000</v>
      </c>
      <c r="D624" s="8" t="s">
        <v>88</v>
      </c>
      <c r="E624" s="6">
        <v>90162085.730000004</v>
      </c>
      <c r="F624" s="6">
        <v>90162085.730000004</v>
      </c>
      <c r="G624" s="36">
        <v>16078842.370000001</v>
      </c>
      <c r="H624" s="34">
        <v>1500</v>
      </c>
      <c r="I624" s="8" t="s">
        <v>88</v>
      </c>
      <c r="J624" s="6">
        <v>13258558.060000001</v>
      </c>
      <c r="K624" s="6">
        <v>13258558.060000001</v>
      </c>
      <c r="L624" s="6">
        <v>13258558.060000001</v>
      </c>
      <c r="M624" s="37">
        <v>14</v>
      </c>
      <c r="N624" s="8" t="s">
        <v>247</v>
      </c>
      <c r="O624" s="29" t="s">
        <v>245</v>
      </c>
      <c r="P624" s="29" t="s">
        <v>245</v>
      </c>
      <c r="Q624" s="29" t="s">
        <v>245</v>
      </c>
      <c r="R624" s="30">
        <v>42835</v>
      </c>
      <c r="S624" s="31" t="s">
        <v>246</v>
      </c>
      <c r="T624" s="32">
        <v>2017</v>
      </c>
      <c r="U624" s="33">
        <v>42824</v>
      </c>
      <c r="V624" s="32"/>
    </row>
    <row r="625" spans="1:22" ht="19.5" customHeight="1" x14ac:dyDescent="0.3">
      <c r="A625" s="34">
        <v>2017</v>
      </c>
      <c r="B625" s="35">
        <v>42736</v>
      </c>
      <c r="C625" s="34">
        <v>1000</v>
      </c>
      <c r="D625" s="8" t="s">
        <v>89</v>
      </c>
      <c r="E625" s="6">
        <v>0</v>
      </c>
      <c r="F625" s="6">
        <v>240120</v>
      </c>
      <c r="G625" s="36">
        <v>240120</v>
      </c>
      <c r="H625" s="34">
        <v>1500</v>
      </c>
      <c r="I625" s="8" t="s">
        <v>89</v>
      </c>
      <c r="J625" s="6">
        <v>160080</v>
      </c>
      <c r="K625" s="6">
        <v>160080</v>
      </c>
      <c r="L625" s="6">
        <v>160080</v>
      </c>
      <c r="M625" s="28">
        <v>15</v>
      </c>
      <c r="N625" s="8" t="s">
        <v>247</v>
      </c>
      <c r="O625" s="29" t="s">
        <v>245</v>
      </c>
      <c r="P625" s="29" t="s">
        <v>245</v>
      </c>
      <c r="Q625" s="29" t="s">
        <v>245</v>
      </c>
      <c r="R625" s="30">
        <v>42835</v>
      </c>
      <c r="S625" s="31" t="s">
        <v>246</v>
      </c>
      <c r="T625" s="32">
        <v>2017</v>
      </c>
      <c r="U625" s="33">
        <v>42824</v>
      </c>
      <c r="V625" s="32"/>
    </row>
    <row r="626" spans="1:22" ht="19.5" customHeight="1" x14ac:dyDescent="0.3">
      <c r="A626" s="34">
        <v>2017</v>
      </c>
      <c r="B626" s="35">
        <v>42736</v>
      </c>
      <c r="C626" s="34">
        <v>1000</v>
      </c>
      <c r="D626" s="7" t="s">
        <v>91</v>
      </c>
      <c r="E626" s="6">
        <v>370490379.48000002</v>
      </c>
      <c r="F626" s="6">
        <v>370490379.48000002</v>
      </c>
      <c r="G626" s="36">
        <v>101892221.17</v>
      </c>
      <c r="H626" s="34">
        <v>1500</v>
      </c>
      <c r="I626" s="7" t="s">
        <v>91</v>
      </c>
      <c r="J626" s="6">
        <v>84755786.700000003</v>
      </c>
      <c r="K626" s="6">
        <v>84755786.700000003</v>
      </c>
      <c r="L626" s="6">
        <v>84755786.700000003</v>
      </c>
      <c r="M626" s="37">
        <v>16</v>
      </c>
      <c r="N626" s="8" t="s">
        <v>247</v>
      </c>
      <c r="O626" s="29" t="s">
        <v>245</v>
      </c>
      <c r="P626" s="29" t="s">
        <v>245</v>
      </c>
      <c r="Q626" s="29" t="s">
        <v>245</v>
      </c>
      <c r="R626" s="30">
        <v>42835</v>
      </c>
      <c r="S626" s="31" t="s">
        <v>246</v>
      </c>
      <c r="T626" s="32">
        <v>2017</v>
      </c>
      <c r="U626" s="33">
        <v>42824</v>
      </c>
      <c r="V626" s="32"/>
    </row>
    <row r="627" spans="1:22" ht="19.5" customHeight="1" x14ac:dyDescent="0.3">
      <c r="A627" s="34">
        <v>2017</v>
      </c>
      <c r="B627" s="35">
        <v>42736</v>
      </c>
      <c r="C627" s="34">
        <v>2000</v>
      </c>
      <c r="D627" s="8" t="s">
        <v>93</v>
      </c>
      <c r="E627" s="6">
        <v>2999023</v>
      </c>
      <c r="F627" s="6">
        <f>2936079.07+21372.82</f>
        <v>2957451.8899999997</v>
      </c>
      <c r="G627" s="36">
        <v>3532.53</v>
      </c>
      <c r="H627" s="34">
        <v>2100</v>
      </c>
      <c r="I627" s="8" t="s">
        <v>93</v>
      </c>
      <c r="J627" s="6">
        <v>0</v>
      </c>
      <c r="K627" s="6">
        <v>0</v>
      </c>
      <c r="L627" s="6">
        <v>0</v>
      </c>
      <c r="M627" s="28">
        <v>17</v>
      </c>
      <c r="N627" s="7" t="s">
        <v>248</v>
      </c>
      <c r="O627" s="29" t="s">
        <v>245</v>
      </c>
      <c r="P627" s="29" t="s">
        <v>245</v>
      </c>
      <c r="Q627" s="29" t="s">
        <v>245</v>
      </c>
      <c r="R627" s="30">
        <v>42835</v>
      </c>
      <c r="S627" s="31" t="s">
        <v>246</v>
      </c>
      <c r="T627" s="32">
        <v>2017</v>
      </c>
      <c r="U627" s="33">
        <v>42824</v>
      </c>
      <c r="V627" s="32"/>
    </row>
    <row r="628" spans="1:22" ht="19.5" customHeight="1" x14ac:dyDescent="0.3">
      <c r="A628" s="34">
        <v>2017</v>
      </c>
      <c r="B628" s="35">
        <v>42736</v>
      </c>
      <c r="C628" s="34">
        <v>2000</v>
      </c>
      <c r="D628" s="8" t="s">
        <v>94</v>
      </c>
      <c r="E628" s="6">
        <v>960377.84</v>
      </c>
      <c r="F628" s="6">
        <v>960377.84</v>
      </c>
      <c r="G628" s="36">
        <v>12674.16</v>
      </c>
      <c r="H628" s="34">
        <v>2100</v>
      </c>
      <c r="I628" s="8" t="s">
        <v>94</v>
      </c>
      <c r="J628" s="6">
        <v>0</v>
      </c>
      <c r="K628" s="6">
        <v>0</v>
      </c>
      <c r="L628" s="6">
        <v>0</v>
      </c>
      <c r="M628" s="37">
        <v>18</v>
      </c>
      <c r="N628" s="7" t="s">
        <v>248</v>
      </c>
      <c r="O628" s="29" t="s">
        <v>245</v>
      </c>
      <c r="P628" s="29" t="s">
        <v>245</v>
      </c>
      <c r="Q628" s="29" t="s">
        <v>245</v>
      </c>
      <c r="R628" s="30">
        <v>42835</v>
      </c>
      <c r="S628" s="31" t="s">
        <v>246</v>
      </c>
      <c r="T628" s="32">
        <v>2017</v>
      </c>
      <c r="U628" s="33">
        <v>42824</v>
      </c>
      <c r="V628" s="32"/>
    </row>
    <row r="629" spans="1:22" ht="19.5" customHeight="1" x14ac:dyDescent="0.3">
      <c r="A629" s="34">
        <v>2017</v>
      </c>
      <c r="B629" s="35">
        <v>42736</v>
      </c>
      <c r="C629" s="34">
        <v>2000</v>
      </c>
      <c r="D629" s="8" t="s">
        <v>95</v>
      </c>
      <c r="E629" s="6">
        <v>6314018</v>
      </c>
      <c r="F629" s="6">
        <v>6314018</v>
      </c>
      <c r="G629" s="36">
        <v>0</v>
      </c>
      <c r="H629" s="34">
        <v>2100</v>
      </c>
      <c r="I629" s="8" t="s">
        <v>95</v>
      </c>
      <c r="J629" s="6">
        <v>0</v>
      </c>
      <c r="K629" s="6">
        <v>0</v>
      </c>
      <c r="L629" s="6">
        <v>0</v>
      </c>
      <c r="M629" s="28">
        <v>19</v>
      </c>
      <c r="N629" s="7" t="s">
        <v>248</v>
      </c>
      <c r="O629" s="29" t="s">
        <v>245</v>
      </c>
      <c r="P629" s="29" t="s">
        <v>245</v>
      </c>
      <c r="Q629" s="29" t="s">
        <v>245</v>
      </c>
      <c r="R629" s="30">
        <v>42835</v>
      </c>
      <c r="S629" s="31" t="s">
        <v>246</v>
      </c>
      <c r="T629" s="32">
        <v>2017</v>
      </c>
      <c r="U629" s="33">
        <v>42824</v>
      </c>
      <c r="V629" s="32"/>
    </row>
    <row r="630" spans="1:22" ht="19.5" customHeight="1" x14ac:dyDescent="0.3">
      <c r="A630" s="34">
        <v>2017</v>
      </c>
      <c r="B630" s="35">
        <v>42736</v>
      </c>
      <c r="C630" s="34">
        <v>2000</v>
      </c>
      <c r="D630" s="8" t="s">
        <v>96</v>
      </c>
      <c r="E630" s="6">
        <v>635151</v>
      </c>
      <c r="F630" s="6">
        <v>635151</v>
      </c>
      <c r="G630" s="36">
        <v>130</v>
      </c>
      <c r="H630" s="34">
        <v>2100</v>
      </c>
      <c r="I630" s="8" t="s">
        <v>96</v>
      </c>
      <c r="J630" s="6">
        <v>0</v>
      </c>
      <c r="K630" s="6">
        <v>0</v>
      </c>
      <c r="L630" s="6">
        <v>0</v>
      </c>
      <c r="M630" s="37">
        <v>20</v>
      </c>
      <c r="N630" s="7" t="s">
        <v>248</v>
      </c>
      <c r="O630" s="29" t="s">
        <v>245</v>
      </c>
      <c r="P630" s="29" t="s">
        <v>245</v>
      </c>
      <c r="Q630" s="29" t="s">
        <v>245</v>
      </c>
      <c r="R630" s="30">
        <v>42835</v>
      </c>
      <c r="S630" s="31" t="s">
        <v>246</v>
      </c>
      <c r="T630" s="32">
        <v>2017</v>
      </c>
      <c r="U630" s="33">
        <v>42824</v>
      </c>
      <c r="V630" s="32"/>
    </row>
    <row r="631" spans="1:22" ht="19.5" customHeight="1" x14ac:dyDescent="0.3">
      <c r="A631" s="34">
        <v>2017</v>
      </c>
      <c r="B631" s="35">
        <v>42736</v>
      </c>
      <c r="C631" s="34">
        <v>2000</v>
      </c>
      <c r="D631" s="8" t="s">
        <v>97</v>
      </c>
      <c r="E631" s="6">
        <v>1805000</v>
      </c>
      <c r="F631" s="6">
        <v>1805000</v>
      </c>
      <c r="G631" s="36">
        <v>245.89</v>
      </c>
      <c r="H631" s="34">
        <v>2100</v>
      </c>
      <c r="I631" s="8" t="s">
        <v>97</v>
      </c>
      <c r="J631" s="6">
        <v>0</v>
      </c>
      <c r="K631" s="6">
        <v>0</v>
      </c>
      <c r="L631" s="6">
        <v>0</v>
      </c>
      <c r="M631" s="28">
        <v>21</v>
      </c>
      <c r="N631" s="7" t="s">
        <v>248</v>
      </c>
      <c r="O631" s="29" t="s">
        <v>245</v>
      </c>
      <c r="P631" s="29" t="s">
        <v>245</v>
      </c>
      <c r="Q631" s="29" t="s">
        <v>245</v>
      </c>
      <c r="R631" s="30">
        <v>42835</v>
      </c>
      <c r="S631" s="31" t="s">
        <v>246</v>
      </c>
      <c r="T631" s="32">
        <v>2017</v>
      </c>
      <c r="U631" s="33">
        <v>42824</v>
      </c>
      <c r="V631" s="32"/>
    </row>
    <row r="632" spans="1:22" ht="19.5" customHeight="1" x14ac:dyDescent="0.3">
      <c r="A632" s="34">
        <v>2017</v>
      </c>
      <c r="B632" s="35">
        <v>42736</v>
      </c>
      <c r="C632" s="34">
        <v>2000</v>
      </c>
      <c r="D632" s="8" t="s">
        <v>98</v>
      </c>
      <c r="E632" s="6">
        <v>41027.96</v>
      </c>
      <c r="F632" s="6">
        <v>41027.96</v>
      </c>
      <c r="G632" s="36">
        <v>0</v>
      </c>
      <c r="H632" s="34">
        <v>2100</v>
      </c>
      <c r="I632" s="8" t="s">
        <v>98</v>
      </c>
      <c r="J632" s="6">
        <v>0</v>
      </c>
      <c r="K632" s="6">
        <v>0</v>
      </c>
      <c r="L632" s="6">
        <v>0</v>
      </c>
      <c r="M632" s="37">
        <v>22</v>
      </c>
      <c r="N632" s="7" t="s">
        <v>248</v>
      </c>
      <c r="O632" s="29" t="s">
        <v>245</v>
      </c>
      <c r="P632" s="29" t="s">
        <v>245</v>
      </c>
      <c r="Q632" s="29" t="s">
        <v>245</v>
      </c>
      <c r="R632" s="30">
        <v>42835</v>
      </c>
      <c r="S632" s="31" t="s">
        <v>246</v>
      </c>
      <c r="T632" s="32">
        <v>2017</v>
      </c>
      <c r="U632" s="33">
        <v>42824</v>
      </c>
      <c r="V632" s="32"/>
    </row>
    <row r="633" spans="1:22" ht="19.5" customHeight="1" x14ac:dyDescent="0.3">
      <c r="A633" s="34">
        <v>2017</v>
      </c>
      <c r="B633" s="35">
        <v>42736</v>
      </c>
      <c r="C633" s="34">
        <v>2000</v>
      </c>
      <c r="D633" s="7" t="s">
        <v>99</v>
      </c>
      <c r="E633" s="6">
        <v>15000</v>
      </c>
      <c r="F633" s="6">
        <v>15000</v>
      </c>
      <c r="G633" s="36">
        <v>0</v>
      </c>
      <c r="H633" s="34">
        <v>2100</v>
      </c>
      <c r="I633" s="7" t="s">
        <v>99</v>
      </c>
      <c r="J633" s="6">
        <v>0</v>
      </c>
      <c r="K633" s="6">
        <v>0</v>
      </c>
      <c r="L633" s="6">
        <v>0</v>
      </c>
      <c r="M633" s="28">
        <v>23</v>
      </c>
      <c r="N633" s="7" t="s">
        <v>248</v>
      </c>
      <c r="O633" s="29" t="s">
        <v>245</v>
      </c>
      <c r="P633" s="29" t="s">
        <v>245</v>
      </c>
      <c r="Q633" s="29" t="s">
        <v>245</v>
      </c>
      <c r="R633" s="30">
        <v>42835</v>
      </c>
      <c r="S633" s="31" t="s">
        <v>246</v>
      </c>
      <c r="T633" s="32">
        <v>2017</v>
      </c>
      <c r="U633" s="33">
        <v>42824</v>
      </c>
      <c r="V633" s="32"/>
    </row>
    <row r="634" spans="1:22" ht="19.5" customHeight="1" x14ac:dyDescent="0.3">
      <c r="A634" s="34">
        <v>2017</v>
      </c>
      <c r="B634" s="35">
        <v>42736</v>
      </c>
      <c r="C634" s="34">
        <v>2000</v>
      </c>
      <c r="D634" s="8" t="s">
        <v>100</v>
      </c>
      <c r="E634" s="6">
        <v>15200535.039999999</v>
      </c>
      <c r="F634" s="6">
        <f>15202906.61+651060</f>
        <v>15853966.609999999</v>
      </c>
      <c r="G634" s="36">
        <v>14489704.720000001</v>
      </c>
      <c r="H634" s="34">
        <v>2200</v>
      </c>
      <c r="I634" s="8" t="s">
        <v>100</v>
      </c>
      <c r="J634" s="6">
        <v>23632.57</v>
      </c>
      <c r="K634" s="6">
        <v>23632.57</v>
      </c>
      <c r="L634" s="6">
        <v>23632.57</v>
      </c>
      <c r="M634" s="37">
        <v>24</v>
      </c>
      <c r="N634" s="7" t="s">
        <v>248</v>
      </c>
      <c r="O634" s="29" t="s">
        <v>245</v>
      </c>
      <c r="P634" s="29" t="s">
        <v>245</v>
      </c>
      <c r="Q634" s="29" t="s">
        <v>245</v>
      </c>
      <c r="R634" s="30">
        <v>42835</v>
      </c>
      <c r="S634" s="31" t="s">
        <v>246</v>
      </c>
      <c r="T634" s="32">
        <v>2017</v>
      </c>
      <c r="U634" s="33">
        <v>42824</v>
      </c>
      <c r="V634" s="32"/>
    </row>
    <row r="635" spans="1:22" ht="19.5" customHeight="1" x14ac:dyDescent="0.3">
      <c r="A635" s="34">
        <v>2017</v>
      </c>
      <c r="B635" s="35">
        <v>42736</v>
      </c>
      <c r="C635" s="34">
        <v>2000</v>
      </c>
      <c r="D635" s="8" t="s">
        <v>101</v>
      </c>
      <c r="E635" s="6">
        <v>104400</v>
      </c>
      <c r="F635" s="6">
        <v>104972.36</v>
      </c>
      <c r="G635" s="36">
        <v>572.36</v>
      </c>
      <c r="H635" s="34">
        <v>2200</v>
      </c>
      <c r="I635" s="8" t="s">
        <v>101</v>
      </c>
      <c r="J635" s="6">
        <v>572.36</v>
      </c>
      <c r="K635" s="6">
        <v>572.36</v>
      </c>
      <c r="L635" s="6">
        <v>572.36</v>
      </c>
      <c r="M635" s="28">
        <v>25</v>
      </c>
      <c r="N635" s="7" t="s">
        <v>248</v>
      </c>
      <c r="O635" s="29" t="s">
        <v>245</v>
      </c>
      <c r="P635" s="29" t="s">
        <v>245</v>
      </c>
      <c r="Q635" s="29" t="s">
        <v>245</v>
      </c>
      <c r="R635" s="30">
        <v>42835</v>
      </c>
      <c r="S635" s="31" t="s">
        <v>246</v>
      </c>
      <c r="T635" s="32">
        <v>2017</v>
      </c>
      <c r="U635" s="33">
        <v>42824</v>
      </c>
      <c r="V635" s="32"/>
    </row>
    <row r="636" spans="1:22" ht="19.5" customHeight="1" x14ac:dyDescent="0.3">
      <c r="A636" s="34">
        <v>2017</v>
      </c>
      <c r="B636" s="35">
        <v>42736</v>
      </c>
      <c r="C636" s="34">
        <v>2000</v>
      </c>
      <c r="D636" s="7" t="s">
        <v>102</v>
      </c>
      <c r="E636" s="6">
        <v>1500</v>
      </c>
      <c r="F636" s="6">
        <v>1500</v>
      </c>
      <c r="G636" s="36">
        <v>0</v>
      </c>
      <c r="H636" s="34">
        <v>2300</v>
      </c>
      <c r="I636" s="7" t="s">
        <v>102</v>
      </c>
      <c r="J636" s="6">
        <v>0</v>
      </c>
      <c r="K636" s="6">
        <v>0</v>
      </c>
      <c r="L636" s="6">
        <v>0</v>
      </c>
      <c r="M636" s="37">
        <v>26</v>
      </c>
      <c r="N636" s="7" t="s">
        <v>248</v>
      </c>
      <c r="O636" s="29" t="s">
        <v>245</v>
      </c>
      <c r="P636" s="29" t="s">
        <v>245</v>
      </c>
      <c r="Q636" s="29" t="s">
        <v>245</v>
      </c>
      <c r="R636" s="30">
        <v>42835</v>
      </c>
      <c r="S636" s="31" t="s">
        <v>246</v>
      </c>
      <c r="T636" s="32">
        <v>2017</v>
      </c>
      <c r="U636" s="33">
        <v>42824</v>
      </c>
      <c r="V636" s="32"/>
    </row>
    <row r="637" spans="1:22" ht="19.5" customHeight="1" x14ac:dyDescent="0.3">
      <c r="A637" s="34">
        <v>2017</v>
      </c>
      <c r="B637" s="35">
        <v>42736</v>
      </c>
      <c r="C637" s="34">
        <v>2000</v>
      </c>
      <c r="D637" s="7" t="s">
        <v>104</v>
      </c>
      <c r="E637" s="6">
        <v>483840</v>
      </c>
      <c r="F637" s="6">
        <v>483840</v>
      </c>
      <c r="G637" s="36">
        <v>483839.99</v>
      </c>
      <c r="H637" s="34">
        <v>2300</v>
      </c>
      <c r="I637" s="7" t="s">
        <v>104</v>
      </c>
      <c r="J637" s="6">
        <v>0</v>
      </c>
      <c r="K637" s="6">
        <v>0</v>
      </c>
      <c r="L637" s="6">
        <v>0</v>
      </c>
      <c r="M637" s="28">
        <v>27</v>
      </c>
      <c r="N637" s="7" t="s">
        <v>248</v>
      </c>
      <c r="O637" s="29" t="s">
        <v>245</v>
      </c>
      <c r="P637" s="29" t="s">
        <v>245</v>
      </c>
      <c r="Q637" s="29" t="s">
        <v>245</v>
      </c>
      <c r="R637" s="30">
        <v>42835</v>
      </c>
      <c r="S637" s="31" t="s">
        <v>246</v>
      </c>
      <c r="T637" s="32">
        <v>2017</v>
      </c>
      <c r="U637" s="33">
        <v>42824</v>
      </c>
      <c r="V637" s="32"/>
    </row>
    <row r="638" spans="1:22" ht="19.5" customHeight="1" x14ac:dyDescent="0.3">
      <c r="A638" s="34">
        <v>2017</v>
      </c>
      <c r="B638" s="35">
        <v>42736</v>
      </c>
      <c r="C638" s="34">
        <v>2000</v>
      </c>
      <c r="D638" s="7" t="s">
        <v>216</v>
      </c>
      <c r="E638" s="6">
        <v>0</v>
      </c>
      <c r="F638" s="6">
        <v>0</v>
      </c>
      <c r="G638" s="36">
        <v>1258.1099999999999</v>
      </c>
      <c r="H638" s="34">
        <v>2300</v>
      </c>
      <c r="I638" s="7" t="s">
        <v>216</v>
      </c>
      <c r="J638" s="6">
        <v>0</v>
      </c>
      <c r="K638" s="6">
        <v>0</v>
      </c>
      <c r="L638" s="6">
        <v>0</v>
      </c>
      <c r="M638" s="37">
        <v>28</v>
      </c>
      <c r="N638" s="7" t="s">
        <v>248</v>
      </c>
      <c r="O638" s="29" t="s">
        <v>245</v>
      </c>
      <c r="P638" s="29" t="s">
        <v>245</v>
      </c>
      <c r="Q638" s="29" t="s">
        <v>245</v>
      </c>
      <c r="R638" s="30">
        <v>42835</v>
      </c>
      <c r="S638" s="31" t="s">
        <v>246</v>
      </c>
      <c r="T638" s="32">
        <v>2017</v>
      </c>
      <c r="U638" s="33">
        <v>42824</v>
      </c>
      <c r="V638" s="32"/>
    </row>
    <row r="639" spans="1:22" ht="19.5" customHeight="1" x14ac:dyDescent="0.3">
      <c r="A639" s="34">
        <v>2017</v>
      </c>
      <c r="B639" s="35">
        <v>42736</v>
      </c>
      <c r="C639" s="34">
        <v>2000</v>
      </c>
      <c r="D639" s="7" t="s">
        <v>109</v>
      </c>
      <c r="E639" s="6">
        <v>12180</v>
      </c>
      <c r="F639" s="6">
        <v>12180</v>
      </c>
      <c r="G639" s="36">
        <v>0</v>
      </c>
      <c r="H639" s="34">
        <v>2400</v>
      </c>
      <c r="I639" s="7" t="s">
        <v>109</v>
      </c>
      <c r="J639" s="6">
        <v>0</v>
      </c>
      <c r="K639" s="6">
        <v>0</v>
      </c>
      <c r="L639" s="6">
        <v>0</v>
      </c>
      <c r="M639" s="28">
        <v>29</v>
      </c>
      <c r="N639" s="7" t="s">
        <v>248</v>
      </c>
      <c r="O639" s="29" t="s">
        <v>245</v>
      </c>
      <c r="P639" s="29" t="s">
        <v>245</v>
      </c>
      <c r="Q639" s="29" t="s">
        <v>245</v>
      </c>
      <c r="R639" s="30">
        <v>42835</v>
      </c>
      <c r="S639" s="31" t="s">
        <v>246</v>
      </c>
      <c r="T639" s="32">
        <v>2017</v>
      </c>
      <c r="U639" s="33">
        <v>42824</v>
      </c>
      <c r="V639" s="32"/>
    </row>
    <row r="640" spans="1:22" ht="19.5" customHeight="1" x14ac:dyDescent="0.3">
      <c r="A640" s="34">
        <v>2017</v>
      </c>
      <c r="B640" s="35">
        <v>42736</v>
      </c>
      <c r="C640" s="34">
        <v>2000</v>
      </c>
      <c r="D640" s="7" t="s">
        <v>111</v>
      </c>
      <c r="E640" s="6">
        <v>997174.4</v>
      </c>
      <c r="F640" s="6">
        <v>997174.4</v>
      </c>
      <c r="G640" s="36">
        <v>0</v>
      </c>
      <c r="H640" s="34">
        <v>2400</v>
      </c>
      <c r="I640" s="7" t="s">
        <v>111</v>
      </c>
      <c r="J640" s="6">
        <v>0</v>
      </c>
      <c r="K640" s="6">
        <v>0</v>
      </c>
      <c r="L640" s="6">
        <v>0</v>
      </c>
      <c r="M640" s="37">
        <v>30</v>
      </c>
      <c r="N640" s="7" t="s">
        <v>248</v>
      </c>
      <c r="O640" s="29" t="s">
        <v>245</v>
      </c>
      <c r="P640" s="29" t="s">
        <v>245</v>
      </c>
      <c r="Q640" s="29" t="s">
        <v>245</v>
      </c>
      <c r="R640" s="30">
        <v>42835</v>
      </c>
      <c r="S640" s="31" t="s">
        <v>246</v>
      </c>
      <c r="T640" s="32">
        <v>2017</v>
      </c>
      <c r="U640" s="33">
        <v>42824</v>
      </c>
      <c r="V640" s="32"/>
    </row>
    <row r="641" spans="1:22" ht="19.5" customHeight="1" x14ac:dyDescent="0.3">
      <c r="A641" s="34">
        <v>2017</v>
      </c>
      <c r="B641" s="35">
        <v>42736</v>
      </c>
      <c r="C641" s="34">
        <v>2000</v>
      </c>
      <c r="D641" s="7" t="s">
        <v>112</v>
      </c>
      <c r="E641" s="6">
        <v>266.8</v>
      </c>
      <c r="F641" s="6">
        <v>60266.8</v>
      </c>
      <c r="G641" s="36">
        <v>35262.949999999997</v>
      </c>
      <c r="H641" s="34">
        <v>2400</v>
      </c>
      <c r="I641" s="7" t="s">
        <v>112</v>
      </c>
      <c r="J641" s="6">
        <v>35262.949999999997</v>
      </c>
      <c r="K641" s="6">
        <v>35262.949999999997</v>
      </c>
      <c r="L641" s="6">
        <v>35262.949999999997</v>
      </c>
      <c r="M641" s="28">
        <v>31</v>
      </c>
      <c r="N641" s="7" t="s">
        <v>248</v>
      </c>
      <c r="O641" s="29" t="s">
        <v>245</v>
      </c>
      <c r="P641" s="29" t="s">
        <v>245</v>
      </c>
      <c r="Q641" s="29" t="s">
        <v>245</v>
      </c>
      <c r="R641" s="30">
        <v>42835</v>
      </c>
      <c r="S641" s="31" t="s">
        <v>246</v>
      </c>
      <c r="T641" s="32">
        <v>2017</v>
      </c>
      <c r="U641" s="33">
        <v>42824</v>
      </c>
      <c r="V641" s="32"/>
    </row>
    <row r="642" spans="1:22" ht="19.5" customHeight="1" x14ac:dyDescent="0.3">
      <c r="A642" s="34">
        <v>2017</v>
      </c>
      <c r="B642" s="35">
        <v>42736</v>
      </c>
      <c r="C642" s="34">
        <v>2000</v>
      </c>
      <c r="D642" s="7" t="s">
        <v>113</v>
      </c>
      <c r="E642" s="6">
        <v>50000</v>
      </c>
      <c r="F642" s="6">
        <v>50000</v>
      </c>
      <c r="G642" s="36">
        <v>0</v>
      </c>
      <c r="H642" s="34">
        <v>2400</v>
      </c>
      <c r="I642" s="7" t="s">
        <v>113</v>
      </c>
      <c r="J642" s="6">
        <v>0</v>
      </c>
      <c r="K642" s="6">
        <v>0</v>
      </c>
      <c r="L642" s="6">
        <v>0</v>
      </c>
      <c r="M642" s="37">
        <v>32</v>
      </c>
      <c r="N642" s="7" t="s">
        <v>248</v>
      </c>
      <c r="O642" s="29" t="s">
        <v>245</v>
      </c>
      <c r="P642" s="29" t="s">
        <v>245</v>
      </c>
      <c r="Q642" s="29" t="s">
        <v>245</v>
      </c>
      <c r="R642" s="30">
        <v>42835</v>
      </c>
      <c r="S642" s="31" t="s">
        <v>246</v>
      </c>
      <c r="T642" s="32">
        <v>2017</v>
      </c>
      <c r="U642" s="33">
        <v>42824</v>
      </c>
      <c r="V642" s="32"/>
    </row>
    <row r="643" spans="1:22" ht="19.5" customHeight="1" x14ac:dyDescent="0.3">
      <c r="A643" s="34">
        <v>2017</v>
      </c>
      <c r="B643" s="35">
        <v>42736</v>
      </c>
      <c r="C643" s="34">
        <v>2000</v>
      </c>
      <c r="D643" s="7" t="s">
        <v>114</v>
      </c>
      <c r="E643" s="6">
        <v>3538</v>
      </c>
      <c r="F643" s="6">
        <v>3538</v>
      </c>
      <c r="G643" s="36">
        <v>0</v>
      </c>
      <c r="H643" s="34">
        <v>2400</v>
      </c>
      <c r="I643" s="7" t="s">
        <v>114</v>
      </c>
      <c r="J643" s="6">
        <v>0</v>
      </c>
      <c r="K643" s="6">
        <v>0</v>
      </c>
      <c r="L643" s="6">
        <v>0</v>
      </c>
      <c r="M643" s="28">
        <v>33</v>
      </c>
      <c r="N643" s="7" t="s">
        <v>248</v>
      </c>
      <c r="O643" s="29" t="s">
        <v>245</v>
      </c>
      <c r="P643" s="29" t="s">
        <v>245</v>
      </c>
      <c r="Q643" s="29" t="s">
        <v>245</v>
      </c>
      <c r="R643" s="30">
        <v>42835</v>
      </c>
      <c r="S643" s="31" t="s">
        <v>246</v>
      </c>
      <c r="T643" s="32">
        <v>2017</v>
      </c>
      <c r="U643" s="33">
        <v>42824</v>
      </c>
      <c r="V643" s="32"/>
    </row>
    <row r="644" spans="1:22" ht="19.5" customHeight="1" x14ac:dyDescent="0.3">
      <c r="A644" s="34">
        <v>2017</v>
      </c>
      <c r="B644" s="35">
        <v>42736</v>
      </c>
      <c r="C644" s="34">
        <v>2000</v>
      </c>
      <c r="D644" s="8" t="s">
        <v>115</v>
      </c>
      <c r="E644" s="6">
        <v>899000</v>
      </c>
      <c r="F644" s="6">
        <v>899000</v>
      </c>
      <c r="G644" s="36">
        <v>98965</v>
      </c>
      <c r="H644" s="34">
        <v>2500</v>
      </c>
      <c r="I644" s="8" t="s">
        <v>115</v>
      </c>
      <c r="J644" s="6">
        <v>2320</v>
      </c>
      <c r="K644" s="6">
        <v>2320</v>
      </c>
      <c r="L644" s="6">
        <v>2320</v>
      </c>
      <c r="M644" s="37">
        <v>34</v>
      </c>
      <c r="N644" s="7" t="s">
        <v>248</v>
      </c>
      <c r="O644" s="29" t="s">
        <v>245</v>
      </c>
      <c r="P644" s="29" t="s">
        <v>245</v>
      </c>
      <c r="Q644" s="29" t="s">
        <v>245</v>
      </c>
      <c r="R644" s="30">
        <v>42835</v>
      </c>
      <c r="S644" s="31" t="s">
        <v>246</v>
      </c>
      <c r="T644" s="32">
        <v>2017</v>
      </c>
      <c r="U644" s="33">
        <v>42824</v>
      </c>
      <c r="V644" s="32"/>
    </row>
    <row r="645" spans="1:22" ht="19.5" customHeight="1" x14ac:dyDescent="0.3">
      <c r="A645" s="34">
        <v>2017</v>
      </c>
      <c r="B645" s="35">
        <v>42736</v>
      </c>
      <c r="C645" s="34">
        <v>2000</v>
      </c>
      <c r="D645" s="8" t="s">
        <v>117</v>
      </c>
      <c r="E645" s="6">
        <v>1467.4</v>
      </c>
      <c r="F645" s="6">
        <v>1467.4</v>
      </c>
      <c r="G645" s="36">
        <v>0</v>
      </c>
      <c r="H645" s="34">
        <v>2500</v>
      </c>
      <c r="I645" s="8" t="s">
        <v>117</v>
      </c>
      <c r="J645" s="6">
        <v>0</v>
      </c>
      <c r="K645" s="6">
        <v>0</v>
      </c>
      <c r="L645" s="6">
        <v>0</v>
      </c>
      <c r="M645" s="28">
        <v>35</v>
      </c>
      <c r="N645" s="7" t="s">
        <v>248</v>
      </c>
      <c r="O645" s="29" t="s">
        <v>245</v>
      </c>
      <c r="P645" s="29" t="s">
        <v>245</v>
      </c>
      <c r="Q645" s="29" t="s">
        <v>245</v>
      </c>
      <c r="R645" s="30">
        <v>42835</v>
      </c>
      <c r="S645" s="31" t="s">
        <v>246</v>
      </c>
      <c r="T645" s="32">
        <v>2017</v>
      </c>
      <c r="U645" s="33">
        <v>42824</v>
      </c>
      <c r="V645" s="32"/>
    </row>
    <row r="646" spans="1:22" ht="19.5" customHeight="1" x14ac:dyDescent="0.3">
      <c r="A646" s="34">
        <v>2017</v>
      </c>
      <c r="B646" s="35">
        <v>42736</v>
      </c>
      <c r="C646" s="34">
        <v>2000</v>
      </c>
      <c r="D646" s="8" t="s">
        <v>118</v>
      </c>
      <c r="E646" s="6">
        <v>2144480</v>
      </c>
      <c r="F646" s="6">
        <v>2144480</v>
      </c>
      <c r="G646" s="36">
        <v>0</v>
      </c>
      <c r="H646" s="34">
        <v>2500</v>
      </c>
      <c r="I646" s="8" t="s">
        <v>118</v>
      </c>
      <c r="J646" s="6">
        <v>0</v>
      </c>
      <c r="K646" s="6">
        <v>0</v>
      </c>
      <c r="L646" s="6">
        <v>0</v>
      </c>
      <c r="M646" s="37">
        <v>36</v>
      </c>
      <c r="N646" s="7" t="s">
        <v>248</v>
      </c>
      <c r="O646" s="29" t="s">
        <v>245</v>
      </c>
      <c r="P646" s="29" t="s">
        <v>245</v>
      </c>
      <c r="Q646" s="29" t="s">
        <v>245</v>
      </c>
      <c r="R646" s="30">
        <v>42835</v>
      </c>
      <c r="S646" s="31" t="s">
        <v>246</v>
      </c>
      <c r="T646" s="32">
        <v>2017</v>
      </c>
      <c r="U646" s="33">
        <v>42824</v>
      </c>
      <c r="V646" s="32"/>
    </row>
    <row r="647" spans="1:22" ht="19.5" customHeight="1" x14ac:dyDescent="0.3">
      <c r="A647" s="34">
        <v>2017</v>
      </c>
      <c r="B647" s="35">
        <v>42736</v>
      </c>
      <c r="C647" s="34">
        <v>2000</v>
      </c>
      <c r="D647" s="8" t="s">
        <v>119</v>
      </c>
      <c r="E647" s="6">
        <v>4284</v>
      </c>
      <c r="F647" s="6">
        <v>4284</v>
      </c>
      <c r="G647" s="36">
        <v>0</v>
      </c>
      <c r="H647" s="34">
        <v>2500</v>
      </c>
      <c r="I647" s="8" t="s">
        <v>119</v>
      </c>
      <c r="J647" s="6">
        <v>0</v>
      </c>
      <c r="K647" s="6">
        <v>0</v>
      </c>
      <c r="L647" s="6">
        <v>0</v>
      </c>
      <c r="M647" s="28">
        <v>37</v>
      </c>
      <c r="N647" s="7" t="s">
        <v>248</v>
      </c>
      <c r="O647" s="29" t="s">
        <v>245</v>
      </c>
      <c r="P647" s="29" t="s">
        <v>245</v>
      </c>
      <c r="Q647" s="29" t="s">
        <v>245</v>
      </c>
      <c r="R647" s="30">
        <v>42835</v>
      </c>
      <c r="S647" s="31" t="s">
        <v>246</v>
      </c>
      <c r="T647" s="32">
        <v>2017</v>
      </c>
      <c r="U647" s="33">
        <v>42824</v>
      </c>
      <c r="V647" s="32"/>
    </row>
    <row r="648" spans="1:22" ht="19.5" customHeight="1" x14ac:dyDescent="0.3">
      <c r="A648" s="34">
        <v>2017</v>
      </c>
      <c r="B648" s="35">
        <v>42736</v>
      </c>
      <c r="C648" s="34">
        <v>2000</v>
      </c>
      <c r="D648" s="12" t="s">
        <v>121</v>
      </c>
      <c r="E648" s="6">
        <v>947500</v>
      </c>
      <c r="F648" s="6">
        <v>947500</v>
      </c>
      <c r="G648" s="36">
        <v>945324.2</v>
      </c>
      <c r="H648" s="34">
        <v>2600</v>
      </c>
      <c r="I648" s="12" t="s">
        <v>121</v>
      </c>
      <c r="J648" s="6">
        <v>0</v>
      </c>
      <c r="K648" s="6">
        <v>0</v>
      </c>
      <c r="L648" s="6">
        <v>0</v>
      </c>
      <c r="M648" s="37">
        <v>38</v>
      </c>
      <c r="N648" s="7" t="s">
        <v>248</v>
      </c>
      <c r="O648" s="29" t="s">
        <v>245</v>
      </c>
      <c r="P648" s="29" t="s">
        <v>245</v>
      </c>
      <c r="Q648" s="29" t="s">
        <v>245</v>
      </c>
      <c r="R648" s="30">
        <v>42835</v>
      </c>
      <c r="S648" s="31" t="s">
        <v>246</v>
      </c>
      <c r="T648" s="32">
        <v>2017</v>
      </c>
      <c r="U648" s="33">
        <v>42824</v>
      </c>
      <c r="V648" s="32"/>
    </row>
    <row r="649" spans="1:22" ht="19.5" customHeight="1" x14ac:dyDescent="0.3">
      <c r="A649" s="34">
        <v>2017</v>
      </c>
      <c r="B649" s="35">
        <v>42736</v>
      </c>
      <c r="C649" s="34">
        <v>2000</v>
      </c>
      <c r="D649" s="12" t="s">
        <v>122</v>
      </c>
      <c r="E649" s="6">
        <v>1750000</v>
      </c>
      <c r="F649" s="6">
        <v>1750000</v>
      </c>
      <c r="G649" s="36">
        <v>0</v>
      </c>
      <c r="H649" s="34">
        <v>2700</v>
      </c>
      <c r="I649" s="12" t="s">
        <v>122</v>
      </c>
      <c r="J649" s="6">
        <v>0</v>
      </c>
      <c r="K649" s="6">
        <v>0</v>
      </c>
      <c r="L649" s="6">
        <v>0</v>
      </c>
      <c r="M649" s="28">
        <v>39</v>
      </c>
      <c r="N649" s="7" t="s">
        <v>248</v>
      </c>
      <c r="O649" s="29" t="s">
        <v>245</v>
      </c>
      <c r="P649" s="29" t="s">
        <v>245</v>
      </c>
      <c r="Q649" s="29" t="s">
        <v>245</v>
      </c>
      <c r="R649" s="30">
        <v>42835</v>
      </c>
      <c r="S649" s="31" t="s">
        <v>246</v>
      </c>
      <c r="T649" s="32">
        <v>2017</v>
      </c>
      <c r="U649" s="33">
        <v>42824</v>
      </c>
      <c r="V649" s="32"/>
    </row>
    <row r="650" spans="1:22" ht="19.5" customHeight="1" x14ac:dyDescent="0.3">
      <c r="A650" s="34">
        <v>2017</v>
      </c>
      <c r="B650" s="35">
        <v>42736</v>
      </c>
      <c r="C650" s="34">
        <v>2000</v>
      </c>
      <c r="D650" s="12" t="s">
        <v>123</v>
      </c>
      <c r="E650" s="6">
        <v>2461707.75</v>
      </c>
      <c r="F650" s="6">
        <v>2461707.75</v>
      </c>
      <c r="G650" s="36">
        <v>0</v>
      </c>
      <c r="H650" s="34">
        <v>2700</v>
      </c>
      <c r="I650" s="12" t="s">
        <v>123</v>
      </c>
      <c r="J650" s="6">
        <v>0</v>
      </c>
      <c r="K650" s="6">
        <v>0</v>
      </c>
      <c r="L650" s="6">
        <v>0</v>
      </c>
      <c r="M650" s="37">
        <v>40</v>
      </c>
      <c r="N650" s="7" t="s">
        <v>248</v>
      </c>
      <c r="O650" s="29" t="s">
        <v>245</v>
      </c>
      <c r="P650" s="29" t="s">
        <v>245</v>
      </c>
      <c r="Q650" s="29" t="s">
        <v>245</v>
      </c>
      <c r="R650" s="30">
        <v>42835</v>
      </c>
      <c r="S650" s="31" t="s">
        <v>246</v>
      </c>
      <c r="T650" s="32">
        <v>2017</v>
      </c>
      <c r="U650" s="33">
        <v>42824</v>
      </c>
      <c r="V650" s="32"/>
    </row>
    <row r="651" spans="1:22" ht="19.5" customHeight="1" x14ac:dyDescent="0.3">
      <c r="A651" s="34">
        <v>2017</v>
      </c>
      <c r="B651" s="35">
        <v>42736</v>
      </c>
      <c r="C651" s="34">
        <v>2000</v>
      </c>
      <c r="D651" s="12" t="s">
        <v>124</v>
      </c>
      <c r="E651" s="6">
        <v>10000</v>
      </c>
      <c r="F651" s="6">
        <v>10000</v>
      </c>
      <c r="G651" s="36">
        <v>0</v>
      </c>
      <c r="H651" s="34">
        <v>2700</v>
      </c>
      <c r="I651" s="12" t="s">
        <v>124</v>
      </c>
      <c r="J651" s="6">
        <v>0</v>
      </c>
      <c r="K651" s="6">
        <v>0</v>
      </c>
      <c r="L651" s="6">
        <v>0</v>
      </c>
      <c r="M651" s="28">
        <v>41</v>
      </c>
      <c r="N651" s="7" t="s">
        <v>248</v>
      </c>
      <c r="O651" s="29" t="s">
        <v>245</v>
      </c>
      <c r="P651" s="29" t="s">
        <v>245</v>
      </c>
      <c r="Q651" s="29" t="s">
        <v>245</v>
      </c>
      <c r="R651" s="30">
        <v>42835</v>
      </c>
      <c r="S651" s="31" t="s">
        <v>246</v>
      </c>
      <c r="T651" s="32">
        <v>2017</v>
      </c>
      <c r="U651" s="33">
        <v>42824</v>
      </c>
      <c r="V651" s="32"/>
    </row>
    <row r="652" spans="1:22" ht="19.5" customHeight="1" x14ac:dyDescent="0.3">
      <c r="A652" s="34">
        <v>2017</v>
      </c>
      <c r="B652" s="35">
        <v>42736</v>
      </c>
      <c r="C652" s="34">
        <v>2000</v>
      </c>
      <c r="D652" s="12" t="s">
        <v>125</v>
      </c>
      <c r="E652" s="6">
        <v>29320</v>
      </c>
      <c r="F652" s="6">
        <v>29320</v>
      </c>
      <c r="G652" s="36">
        <v>0</v>
      </c>
      <c r="H652" s="34">
        <v>2700</v>
      </c>
      <c r="I652" s="12" t="s">
        <v>125</v>
      </c>
      <c r="J652" s="6">
        <v>0</v>
      </c>
      <c r="K652" s="6">
        <v>0</v>
      </c>
      <c r="L652" s="6">
        <v>0</v>
      </c>
      <c r="M652" s="37">
        <v>42</v>
      </c>
      <c r="N652" s="7" t="s">
        <v>248</v>
      </c>
      <c r="O652" s="29" t="s">
        <v>245</v>
      </c>
      <c r="P652" s="29" t="s">
        <v>245</v>
      </c>
      <c r="Q652" s="29" t="s">
        <v>245</v>
      </c>
      <c r="R652" s="30">
        <v>42835</v>
      </c>
      <c r="S652" s="31" t="s">
        <v>246</v>
      </c>
      <c r="T652" s="32">
        <v>2017</v>
      </c>
      <c r="U652" s="33">
        <v>42824</v>
      </c>
      <c r="V652" s="32"/>
    </row>
    <row r="653" spans="1:22" ht="19.5" customHeight="1" x14ac:dyDescent="0.3">
      <c r="A653" s="34">
        <v>2017</v>
      </c>
      <c r="B653" s="35">
        <v>42736</v>
      </c>
      <c r="C653" s="34">
        <v>2000</v>
      </c>
      <c r="D653" s="7" t="s">
        <v>126</v>
      </c>
      <c r="E653" s="6">
        <v>8207</v>
      </c>
      <c r="F653" s="6">
        <v>8207</v>
      </c>
      <c r="G653" s="36">
        <v>0</v>
      </c>
      <c r="H653" s="34">
        <v>2700</v>
      </c>
      <c r="I653" s="7" t="s">
        <v>126</v>
      </c>
      <c r="J653" s="6">
        <v>0</v>
      </c>
      <c r="K653" s="6">
        <v>0</v>
      </c>
      <c r="L653" s="6">
        <v>0</v>
      </c>
      <c r="M653" s="28">
        <v>43</v>
      </c>
      <c r="N653" s="7" t="s">
        <v>248</v>
      </c>
      <c r="O653" s="29" t="s">
        <v>245</v>
      </c>
      <c r="P653" s="29" t="s">
        <v>245</v>
      </c>
      <c r="Q653" s="29" t="s">
        <v>245</v>
      </c>
      <c r="R653" s="30">
        <v>42835</v>
      </c>
      <c r="S653" s="31" t="s">
        <v>246</v>
      </c>
      <c r="T653" s="32">
        <v>2017</v>
      </c>
      <c r="U653" s="33">
        <v>42824</v>
      </c>
      <c r="V653" s="32"/>
    </row>
    <row r="654" spans="1:22" ht="19.5" customHeight="1" x14ac:dyDescent="0.3">
      <c r="A654" s="34">
        <v>2017</v>
      </c>
      <c r="B654" s="35">
        <v>42736</v>
      </c>
      <c r="C654" s="34">
        <v>2000</v>
      </c>
      <c r="D654" s="12" t="s">
        <v>128</v>
      </c>
      <c r="E654" s="6">
        <v>98070.76</v>
      </c>
      <c r="F654" s="6">
        <v>98070.76</v>
      </c>
      <c r="G654" s="36">
        <v>0</v>
      </c>
      <c r="H654" s="34">
        <v>2900</v>
      </c>
      <c r="I654" s="12" t="s">
        <v>128</v>
      </c>
      <c r="J654" s="6">
        <v>0</v>
      </c>
      <c r="K654" s="6">
        <v>0</v>
      </c>
      <c r="L654" s="6">
        <v>0</v>
      </c>
      <c r="M654" s="37">
        <v>44</v>
      </c>
      <c r="N654" s="7" t="s">
        <v>248</v>
      </c>
      <c r="O654" s="29" t="s">
        <v>245</v>
      </c>
      <c r="P654" s="29" t="s">
        <v>245</v>
      </c>
      <c r="Q654" s="29" t="s">
        <v>245</v>
      </c>
      <c r="R654" s="30">
        <v>42835</v>
      </c>
      <c r="S654" s="31" t="s">
        <v>246</v>
      </c>
      <c r="T654" s="32">
        <v>2017</v>
      </c>
      <c r="U654" s="33">
        <v>42824</v>
      </c>
      <c r="V654" s="32"/>
    </row>
    <row r="655" spans="1:22" ht="19.5" customHeight="1" x14ac:dyDescent="0.3">
      <c r="A655" s="34">
        <v>2017</v>
      </c>
      <c r="B655" s="35">
        <v>42736</v>
      </c>
      <c r="C655" s="34">
        <v>2000</v>
      </c>
      <c r="D655" s="12" t="s">
        <v>129</v>
      </c>
      <c r="E655" s="6">
        <v>30000</v>
      </c>
      <c r="F655" s="6">
        <v>30000</v>
      </c>
      <c r="G655" s="36">
        <v>3354.22</v>
      </c>
      <c r="H655" s="34">
        <v>2900</v>
      </c>
      <c r="I655" s="12" t="s">
        <v>129</v>
      </c>
      <c r="J655" s="6">
        <v>0</v>
      </c>
      <c r="K655" s="6">
        <v>0</v>
      </c>
      <c r="L655" s="6">
        <v>0</v>
      </c>
      <c r="M655" s="28">
        <v>45</v>
      </c>
      <c r="N655" s="7" t="s">
        <v>248</v>
      </c>
      <c r="O655" s="29" t="s">
        <v>245</v>
      </c>
      <c r="P655" s="29" t="s">
        <v>245</v>
      </c>
      <c r="Q655" s="29" t="s">
        <v>245</v>
      </c>
      <c r="R655" s="30">
        <v>42835</v>
      </c>
      <c r="S655" s="31" t="s">
        <v>246</v>
      </c>
      <c r="T655" s="32">
        <v>2017</v>
      </c>
      <c r="U655" s="33">
        <v>42824</v>
      </c>
      <c r="V655" s="32"/>
    </row>
    <row r="656" spans="1:22" ht="19.5" customHeight="1" x14ac:dyDescent="0.3">
      <c r="A656" s="34">
        <v>2017</v>
      </c>
      <c r="B656" s="35">
        <v>42736</v>
      </c>
      <c r="C656" s="34">
        <v>2000</v>
      </c>
      <c r="D656" s="12" t="s">
        <v>131</v>
      </c>
      <c r="E656" s="6">
        <v>38296</v>
      </c>
      <c r="F656" s="6">
        <v>38296</v>
      </c>
      <c r="G656" s="36">
        <v>9235.4500000000007</v>
      </c>
      <c r="H656" s="34">
        <v>2900</v>
      </c>
      <c r="I656" s="12" t="s">
        <v>131</v>
      </c>
      <c r="J656" s="6">
        <v>0</v>
      </c>
      <c r="K656" s="6">
        <v>0</v>
      </c>
      <c r="L656" s="6">
        <v>0</v>
      </c>
      <c r="M656" s="37">
        <v>46</v>
      </c>
      <c r="N656" s="7" t="s">
        <v>248</v>
      </c>
      <c r="O656" s="29" t="s">
        <v>245</v>
      </c>
      <c r="P656" s="29" t="s">
        <v>245</v>
      </c>
      <c r="Q656" s="29" t="s">
        <v>245</v>
      </c>
      <c r="R656" s="30">
        <v>42835</v>
      </c>
      <c r="S656" s="31" t="s">
        <v>246</v>
      </c>
      <c r="T656" s="32">
        <v>2017</v>
      </c>
      <c r="U656" s="33">
        <v>42824</v>
      </c>
      <c r="V656" s="32"/>
    </row>
    <row r="657" spans="1:22" ht="19.5" customHeight="1" x14ac:dyDescent="0.3">
      <c r="A657" s="34">
        <v>2017</v>
      </c>
      <c r="B657" s="35">
        <v>42736</v>
      </c>
      <c r="C657" s="34">
        <v>2000</v>
      </c>
      <c r="D657" s="7" t="s">
        <v>132</v>
      </c>
      <c r="E657" s="6">
        <v>0</v>
      </c>
      <c r="F657" s="6">
        <v>0</v>
      </c>
      <c r="G657" s="36">
        <v>2969.8</v>
      </c>
      <c r="H657" s="34">
        <v>2900</v>
      </c>
      <c r="I657" s="7" t="s">
        <v>132</v>
      </c>
      <c r="J657" s="6">
        <v>0</v>
      </c>
      <c r="K657" s="6">
        <v>0</v>
      </c>
      <c r="L657" s="6">
        <v>0</v>
      </c>
      <c r="M657" s="28">
        <v>47</v>
      </c>
      <c r="N657" s="7" t="s">
        <v>248</v>
      </c>
      <c r="O657" s="29" t="s">
        <v>245</v>
      </c>
      <c r="P657" s="29" t="s">
        <v>245</v>
      </c>
      <c r="Q657" s="29" t="s">
        <v>245</v>
      </c>
      <c r="R657" s="30">
        <v>42835</v>
      </c>
      <c r="S657" s="31" t="s">
        <v>246</v>
      </c>
      <c r="T657" s="32">
        <v>2017</v>
      </c>
      <c r="U657" s="33">
        <v>42824</v>
      </c>
      <c r="V657" s="32"/>
    </row>
    <row r="658" spans="1:22" ht="19.5" customHeight="1" x14ac:dyDescent="0.3">
      <c r="A658" s="34">
        <v>2017</v>
      </c>
      <c r="B658" s="35">
        <v>42736</v>
      </c>
      <c r="C658" s="34">
        <v>2000</v>
      </c>
      <c r="D658" s="7" t="s">
        <v>133</v>
      </c>
      <c r="E658" s="6">
        <v>15000</v>
      </c>
      <c r="F658" s="6">
        <v>15000</v>
      </c>
      <c r="G658" s="36">
        <v>0</v>
      </c>
      <c r="H658" s="34">
        <v>2900</v>
      </c>
      <c r="I658" s="7" t="s">
        <v>133</v>
      </c>
      <c r="J658" s="6">
        <v>0</v>
      </c>
      <c r="K658" s="6">
        <v>0</v>
      </c>
      <c r="L658" s="6">
        <v>0</v>
      </c>
      <c r="M658" s="37">
        <v>48</v>
      </c>
      <c r="N658" s="7" t="s">
        <v>248</v>
      </c>
      <c r="O658" s="29" t="s">
        <v>245</v>
      </c>
      <c r="P658" s="29" t="s">
        <v>245</v>
      </c>
      <c r="Q658" s="29" t="s">
        <v>245</v>
      </c>
      <c r="R658" s="30">
        <v>42835</v>
      </c>
      <c r="S658" s="31" t="s">
        <v>246</v>
      </c>
      <c r="T658" s="32">
        <v>2017</v>
      </c>
      <c r="U658" s="33">
        <v>42824</v>
      </c>
      <c r="V658" s="32"/>
    </row>
    <row r="659" spans="1:22" ht="19.5" customHeight="1" x14ac:dyDescent="0.3">
      <c r="A659" s="34">
        <v>2017</v>
      </c>
      <c r="B659" s="35">
        <v>42736</v>
      </c>
      <c r="C659" s="34">
        <v>3000</v>
      </c>
      <c r="D659" s="12" t="s">
        <v>135</v>
      </c>
      <c r="E659" s="6">
        <v>9187500</v>
      </c>
      <c r="F659" s="6">
        <v>9187500</v>
      </c>
      <c r="G659" s="36">
        <v>9187500</v>
      </c>
      <c r="H659" s="34">
        <v>3100</v>
      </c>
      <c r="I659" s="12" t="s">
        <v>135</v>
      </c>
      <c r="J659" s="6">
        <v>1224609</v>
      </c>
      <c r="K659" s="6">
        <v>1224609</v>
      </c>
      <c r="L659" s="6">
        <v>1224609</v>
      </c>
      <c r="M659" s="28">
        <v>49</v>
      </c>
      <c r="N659" s="8" t="s">
        <v>247</v>
      </c>
      <c r="O659" s="29" t="s">
        <v>245</v>
      </c>
      <c r="P659" s="29" t="s">
        <v>245</v>
      </c>
      <c r="Q659" s="29" t="s">
        <v>245</v>
      </c>
      <c r="R659" s="30">
        <v>42835</v>
      </c>
      <c r="S659" s="31" t="s">
        <v>246</v>
      </c>
      <c r="T659" s="32">
        <v>2017</v>
      </c>
      <c r="U659" s="33">
        <v>42824</v>
      </c>
      <c r="V659" s="32"/>
    </row>
    <row r="660" spans="1:22" ht="19.5" customHeight="1" x14ac:dyDescent="0.3">
      <c r="A660" s="34">
        <v>2017</v>
      </c>
      <c r="B660" s="35">
        <v>42736</v>
      </c>
      <c r="C660" s="34">
        <v>3000</v>
      </c>
      <c r="D660" s="12" t="s">
        <v>136</v>
      </c>
      <c r="E660" s="6">
        <v>3150000</v>
      </c>
      <c r="F660" s="6">
        <v>3150000</v>
      </c>
      <c r="G660" s="36">
        <v>3150000</v>
      </c>
      <c r="H660" s="34">
        <v>3100</v>
      </c>
      <c r="I660" s="12" t="s">
        <v>136</v>
      </c>
      <c r="J660" s="6">
        <v>517234</v>
      </c>
      <c r="K660" s="6">
        <v>517234</v>
      </c>
      <c r="L660" s="6">
        <v>517234</v>
      </c>
      <c r="M660" s="37">
        <v>50</v>
      </c>
      <c r="N660" s="8" t="s">
        <v>247</v>
      </c>
      <c r="O660" s="29" t="s">
        <v>245</v>
      </c>
      <c r="P660" s="29" t="s">
        <v>245</v>
      </c>
      <c r="Q660" s="29" t="s">
        <v>245</v>
      </c>
      <c r="R660" s="30">
        <v>42835</v>
      </c>
      <c r="S660" s="31" t="s">
        <v>246</v>
      </c>
      <c r="T660" s="32">
        <v>2017</v>
      </c>
      <c r="U660" s="33">
        <v>42824</v>
      </c>
      <c r="V660" s="32"/>
    </row>
    <row r="661" spans="1:22" ht="19.5" customHeight="1" x14ac:dyDescent="0.3">
      <c r="A661" s="34">
        <v>2017</v>
      </c>
      <c r="B661" s="35">
        <v>42736</v>
      </c>
      <c r="C661" s="34">
        <v>3000</v>
      </c>
      <c r="D661" s="12" t="s">
        <v>137</v>
      </c>
      <c r="E661" s="6">
        <v>1113000</v>
      </c>
      <c r="F661" s="6">
        <v>1113000</v>
      </c>
      <c r="G661" s="36">
        <v>1113000</v>
      </c>
      <c r="H661" s="34">
        <v>3100</v>
      </c>
      <c r="I661" s="12" t="s">
        <v>137</v>
      </c>
      <c r="J661" s="6">
        <v>137121.87</v>
      </c>
      <c r="K661" s="6">
        <v>137121.87</v>
      </c>
      <c r="L661" s="6">
        <v>137121.87</v>
      </c>
      <c r="M661" s="28">
        <v>51</v>
      </c>
      <c r="N661" s="8" t="s">
        <v>247</v>
      </c>
      <c r="O661" s="29" t="s">
        <v>245</v>
      </c>
      <c r="P661" s="29" t="s">
        <v>245</v>
      </c>
      <c r="Q661" s="29" t="s">
        <v>245</v>
      </c>
      <c r="R661" s="30">
        <v>42835</v>
      </c>
      <c r="S661" s="31" t="s">
        <v>246</v>
      </c>
      <c r="T661" s="32">
        <v>2017</v>
      </c>
      <c r="U661" s="33">
        <v>42824</v>
      </c>
      <c r="V661" s="32"/>
    </row>
    <row r="662" spans="1:22" ht="19.5" customHeight="1" x14ac:dyDescent="0.3">
      <c r="A662" s="34">
        <v>2017</v>
      </c>
      <c r="B662" s="35">
        <v>42736</v>
      </c>
      <c r="C662" s="34">
        <v>3000</v>
      </c>
      <c r="D662" s="12" t="s">
        <v>138</v>
      </c>
      <c r="E662" s="6">
        <v>250000</v>
      </c>
      <c r="F662" s="6">
        <v>250000</v>
      </c>
      <c r="G662" s="36">
        <v>100000</v>
      </c>
      <c r="H662" s="34">
        <v>3100</v>
      </c>
      <c r="I662" s="12" t="s">
        <v>138</v>
      </c>
      <c r="J662" s="6">
        <v>0</v>
      </c>
      <c r="K662" s="6">
        <v>0</v>
      </c>
      <c r="L662" s="6">
        <v>0</v>
      </c>
      <c r="M662" s="37">
        <v>52</v>
      </c>
      <c r="N662" s="8" t="s">
        <v>247</v>
      </c>
      <c r="O662" s="29" t="s">
        <v>245</v>
      </c>
      <c r="P662" s="29" t="s">
        <v>245</v>
      </c>
      <c r="Q662" s="29" t="s">
        <v>245</v>
      </c>
      <c r="R662" s="30">
        <v>42835</v>
      </c>
      <c r="S662" s="31" t="s">
        <v>246</v>
      </c>
      <c r="T662" s="32">
        <v>2017</v>
      </c>
      <c r="U662" s="33">
        <v>42824</v>
      </c>
      <c r="V662" s="32"/>
    </row>
    <row r="663" spans="1:22" ht="19.5" customHeight="1" x14ac:dyDescent="0.3">
      <c r="A663" s="34">
        <v>2017</v>
      </c>
      <c r="B663" s="35">
        <v>42736</v>
      </c>
      <c r="C663" s="34">
        <v>3000</v>
      </c>
      <c r="D663" s="12" t="s">
        <v>139</v>
      </c>
      <c r="E663" s="6">
        <v>7347800</v>
      </c>
      <c r="F663" s="6">
        <v>7304885.5</v>
      </c>
      <c r="G663" s="36">
        <v>6268542.5999999996</v>
      </c>
      <c r="H663" s="34">
        <v>3100</v>
      </c>
      <c r="I663" s="12" t="s">
        <v>139</v>
      </c>
      <c r="J663" s="6">
        <v>135584.6</v>
      </c>
      <c r="K663" s="6">
        <v>135584.6</v>
      </c>
      <c r="L663" s="6">
        <v>135584.6</v>
      </c>
      <c r="M663" s="28">
        <v>53</v>
      </c>
      <c r="N663" s="8" t="s">
        <v>247</v>
      </c>
      <c r="O663" s="29" t="s">
        <v>245</v>
      </c>
      <c r="P663" s="29" t="s">
        <v>245</v>
      </c>
      <c r="Q663" s="29" t="s">
        <v>245</v>
      </c>
      <c r="R663" s="30">
        <v>42835</v>
      </c>
      <c r="S663" s="31" t="s">
        <v>246</v>
      </c>
      <c r="T663" s="32">
        <v>2017</v>
      </c>
      <c r="U663" s="33">
        <v>42824</v>
      </c>
      <c r="V663" s="32"/>
    </row>
    <row r="664" spans="1:22" ht="19.5" customHeight="1" x14ac:dyDescent="0.3">
      <c r="A664" s="34">
        <v>2017</v>
      </c>
      <c r="B664" s="35">
        <v>42736</v>
      </c>
      <c r="C664" s="34">
        <v>3000</v>
      </c>
      <c r="D664" s="12" t="s">
        <v>140</v>
      </c>
      <c r="E664" s="6">
        <v>76560</v>
      </c>
      <c r="F664" s="6">
        <v>76560</v>
      </c>
      <c r="G664" s="36">
        <v>10398.01</v>
      </c>
      <c r="H664" s="34">
        <v>3100</v>
      </c>
      <c r="I664" s="12" t="s">
        <v>140</v>
      </c>
      <c r="J664" s="6">
        <v>0</v>
      </c>
      <c r="K664" s="6">
        <v>0</v>
      </c>
      <c r="L664" s="6">
        <v>0</v>
      </c>
      <c r="M664" s="37">
        <v>54</v>
      </c>
      <c r="N664" s="8" t="s">
        <v>247</v>
      </c>
      <c r="O664" s="29" t="s">
        <v>245</v>
      </c>
      <c r="P664" s="29" t="s">
        <v>245</v>
      </c>
      <c r="Q664" s="29" t="s">
        <v>245</v>
      </c>
      <c r="R664" s="30">
        <v>42835</v>
      </c>
      <c r="S664" s="31" t="s">
        <v>246</v>
      </c>
      <c r="T664" s="32">
        <v>2017</v>
      </c>
      <c r="U664" s="33">
        <v>42824</v>
      </c>
      <c r="V664" s="32"/>
    </row>
    <row r="665" spans="1:22" ht="19.5" customHeight="1" x14ac:dyDescent="0.3">
      <c r="A665" s="34">
        <v>2017</v>
      </c>
      <c r="B665" s="35">
        <v>42736</v>
      </c>
      <c r="C665" s="34">
        <v>3000</v>
      </c>
      <c r="D665" s="7" t="s">
        <v>141</v>
      </c>
      <c r="E665" s="6">
        <v>1600800</v>
      </c>
      <c r="F665" s="6">
        <v>1600800</v>
      </c>
      <c r="G665" s="36">
        <v>1600800</v>
      </c>
      <c r="H665" s="34">
        <v>3100</v>
      </c>
      <c r="I665" s="7" t="s">
        <v>141</v>
      </c>
      <c r="J665" s="6">
        <v>0</v>
      </c>
      <c r="K665" s="6">
        <v>0</v>
      </c>
      <c r="L665" s="6">
        <v>0</v>
      </c>
      <c r="M665" s="28">
        <v>55</v>
      </c>
      <c r="N665" s="8" t="s">
        <v>247</v>
      </c>
      <c r="O665" s="29" t="s">
        <v>245</v>
      </c>
      <c r="P665" s="29" t="s">
        <v>245</v>
      </c>
      <c r="Q665" s="29" t="s">
        <v>245</v>
      </c>
      <c r="R665" s="30">
        <v>42835</v>
      </c>
      <c r="S665" s="31" t="s">
        <v>246</v>
      </c>
      <c r="T665" s="32">
        <v>2017</v>
      </c>
      <c r="U665" s="33">
        <v>42824</v>
      </c>
      <c r="V665" s="32"/>
    </row>
    <row r="666" spans="1:22" ht="19.5" customHeight="1" x14ac:dyDescent="0.3">
      <c r="A666" s="34">
        <v>2017</v>
      </c>
      <c r="B666" s="35">
        <v>42736</v>
      </c>
      <c r="C666" s="34">
        <v>3000</v>
      </c>
      <c r="D666" s="12" t="s">
        <v>142</v>
      </c>
      <c r="E666" s="6">
        <v>11067495.720000001</v>
      </c>
      <c r="F666" s="6">
        <v>11067495.720000001</v>
      </c>
      <c r="G666" s="36">
        <v>11067495.720000001</v>
      </c>
      <c r="H666" s="34">
        <v>3200</v>
      </c>
      <c r="I666" s="12" t="s">
        <v>142</v>
      </c>
      <c r="J666" s="6">
        <v>0</v>
      </c>
      <c r="K666" s="6">
        <v>0</v>
      </c>
      <c r="L666" s="6">
        <v>0</v>
      </c>
      <c r="M666" s="37">
        <v>56</v>
      </c>
      <c r="N666" s="8" t="s">
        <v>247</v>
      </c>
      <c r="O666" s="29" t="s">
        <v>245</v>
      </c>
      <c r="P666" s="29" t="s">
        <v>245</v>
      </c>
      <c r="Q666" s="29" t="s">
        <v>245</v>
      </c>
      <c r="R666" s="30">
        <v>42835</v>
      </c>
      <c r="S666" s="31" t="s">
        <v>246</v>
      </c>
      <c r="T666" s="32">
        <v>2017</v>
      </c>
      <c r="U666" s="33">
        <v>42824</v>
      </c>
      <c r="V666" s="32"/>
    </row>
    <row r="667" spans="1:22" ht="19.5" customHeight="1" x14ac:dyDescent="0.3">
      <c r="A667" s="34">
        <v>2017</v>
      </c>
      <c r="B667" s="35">
        <v>42736</v>
      </c>
      <c r="C667" s="34">
        <v>3000</v>
      </c>
      <c r="D667" s="12" t="s">
        <v>143</v>
      </c>
      <c r="E667" s="6">
        <v>104400</v>
      </c>
      <c r="F667" s="6">
        <v>104400</v>
      </c>
      <c r="G667" s="36">
        <v>0</v>
      </c>
      <c r="H667" s="34">
        <v>3200</v>
      </c>
      <c r="I667" s="12" t="s">
        <v>143</v>
      </c>
      <c r="J667" s="6">
        <v>0</v>
      </c>
      <c r="K667" s="6">
        <v>0</v>
      </c>
      <c r="L667" s="6">
        <v>0</v>
      </c>
      <c r="M667" s="28">
        <v>57</v>
      </c>
      <c r="N667" s="8" t="s">
        <v>247</v>
      </c>
      <c r="O667" s="29" t="s">
        <v>245</v>
      </c>
      <c r="P667" s="29" t="s">
        <v>245</v>
      </c>
      <c r="Q667" s="29" t="s">
        <v>245</v>
      </c>
      <c r="R667" s="30">
        <v>42835</v>
      </c>
      <c r="S667" s="31" t="s">
        <v>246</v>
      </c>
      <c r="T667" s="32">
        <v>2017</v>
      </c>
      <c r="U667" s="33">
        <v>42824</v>
      </c>
      <c r="V667" s="32"/>
    </row>
    <row r="668" spans="1:22" ht="19.5" customHeight="1" x14ac:dyDescent="0.3">
      <c r="A668" s="34">
        <v>2017</v>
      </c>
      <c r="B668" s="35">
        <v>42736</v>
      </c>
      <c r="C668" s="34">
        <v>3000</v>
      </c>
      <c r="D668" s="12" t="s">
        <v>145</v>
      </c>
      <c r="E668" s="6">
        <v>130145</v>
      </c>
      <c r="F668" s="6">
        <v>148059.5</v>
      </c>
      <c r="G668" s="36">
        <v>81675</v>
      </c>
      <c r="H668" s="34">
        <v>3200</v>
      </c>
      <c r="I668" s="12" t="s">
        <v>145</v>
      </c>
      <c r="J668" s="6">
        <v>37912.5</v>
      </c>
      <c r="K668" s="6">
        <v>37912.5</v>
      </c>
      <c r="L668" s="6">
        <v>37912.5</v>
      </c>
      <c r="M668" s="37">
        <v>58</v>
      </c>
      <c r="N668" s="8" t="s">
        <v>247</v>
      </c>
      <c r="O668" s="29" t="s">
        <v>245</v>
      </c>
      <c r="P668" s="29" t="s">
        <v>245</v>
      </c>
      <c r="Q668" s="29" t="s">
        <v>245</v>
      </c>
      <c r="R668" s="30">
        <v>42835</v>
      </c>
      <c r="S668" s="31" t="s">
        <v>246</v>
      </c>
      <c r="T668" s="32">
        <v>2017</v>
      </c>
      <c r="U668" s="33">
        <v>42824</v>
      </c>
      <c r="V668" s="32"/>
    </row>
    <row r="669" spans="1:22" ht="19.5" customHeight="1" x14ac:dyDescent="0.3">
      <c r="A669" s="34">
        <v>2017</v>
      </c>
      <c r="B669" s="35">
        <v>42736</v>
      </c>
      <c r="C669" s="34">
        <v>3000</v>
      </c>
      <c r="D669" s="12" t="s">
        <v>146</v>
      </c>
      <c r="E669" s="6">
        <v>40000</v>
      </c>
      <c r="F669" s="6">
        <v>40000</v>
      </c>
      <c r="G669" s="36">
        <v>0</v>
      </c>
      <c r="H669" s="34">
        <v>3200</v>
      </c>
      <c r="I669" s="12" t="s">
        <v>146</v>
      </c>
      <c r="J669" s="6">
        <v>0</v>
      </c>
      <c r="K669" s="6">
        <v>0</v>
      </c>
      <c r="L669" s="6">
        <v>0</v>
      </c>
      <c r="M669" s="28">
        <v>59</v>
      </c>
      <c r="N669" s="8" t="s">
        <v>247</v>
      </c>
      <c r="O669" s="29" t="s">
        <v>245</v>
      </c>
      <c r="P669" s="29" t="s">
        <v>245</v>
      </c>
      <c r="Q669" s="29" t="s">
        <v>245</v>
      </c>
      <c r="R669" s="30">
        <v>42835</v>
      </c>
      <c r="S669" s="31" t="s">
        <v>246</v>
      </c>
      <c r="T669" s="32">
        <v>2017</v>
      </c>
      <c r="U669" s="33">
        <v>42824</v>
      </c>
      <c r="V669" s="32"/>
    </row>
    <row r="670" spans="1:22" ht="19.5" customHeight="1" x14ac:dyDescent="0.3">
      <c r="A670" s="34">
        <v>2017</v>
      </c>
      <c r="B670" s="35">
        <v>42736</v>
      </c>
      <c r="C670" s="34">
        <v>3000</v>
      </c>
      <c r="D670" s="12" t="s">
        <v>147</v>
      </c>
      <c r="E670" s="6">
        <v>1662205</v>
      </c>
      <c r="F670" s="6">
        <v>1662205</v>
      </c>
      <c r="G670" s="36">
        <v>0</v>
      </c>
      <c r="H670" s="34">
        <v>3300</v>
      </c>
      <c r="I670" s="12" t="s">
        <v>147</v>
      </c>
      <c r="J670" s="6">
        <v>0</v>
      </c>
      <c r="K670" s="6">
        <v>0</v>
      </c>
      <c r="L670" s="6">
        <v>0</v>
      </c>
      <c r="M670" s="37">
        <v>60</v>
      </c>
      <c r="N670" s="8" t="s">
        <v>247</v>
      </c>
      <c r="O670" s="29" t="s">
        <v>245</v>
      </c>
      <c r="P670" s="29" t="s">
        <v>245</v>
      </c>
      <c r="Q670" s="29" t="s">
        <v>245</v>
      </c>
      <c r="R670" s="30">
        <v>42835</v>
      </c>
      <c r="S670" s="31" t="s">
        <v>246</v>
      </c>
      <c r="T670" s="32">
        <v>2017</v>
      </c>
      <c r="U670" s="33">
        <v>42824</v>
      </c>
      <c r="V670" s="32"/>
    </row>
    <row r="671" spans="1:22" ht="19.5" customHeight="1" x14ac:dyDescent="0.3">
      <c r="A671" s="34">
        <v>2017</v>
      </c>
      <c r="B671" s="35">
        <v>42736</v>
      </c>
      <c r="C671" s="34">
        <v>3000</v>
      </c>
      <c r="D671" s="12" t="s">
        <v>149</v>
      </c>
      <c r="E671" s="6">
        <v>1944100</v>
      </c>
      <c r="F671" s="6">
        <v>1944100</v>
      </c>
      <c r="G671" s="36">
        <v>1709994.6</v>
      </c>
      <c r="H671" s="34">
        <v>3300</v>
      </c>
      <c r="I671" s="12" t="s">
        <v>149</v>
      </c>
      <c r="J671" s="6">
        <v>0</v>
      </c>
      <c r="K671" s="6">
        <v>0</v>
      </c>
      <c r="L671" s="6">
        <v>0</v>
      </c>
      <c r="M671" s="28">
        <v>61</v>
      </c>
      <c r="N671" s="8" t="s">
        <v>247</v>
      </c>
      <c r="O671" s="29" t="s">
        <v>245</v>
      </c>
      <c r="P671" s="29" t="s">
        <v>245</v>
      </c>
      <c r="Q671" s="29" t="s">
        <v>245</v>
      </c>
      <c r="R671" s="30">
        <v>42835</v>
      </c>
      <c r="S671" s="31" t="s">
        <v>246</v>
      </c>
      <c r="T671" s="32">
        <v>2017</v>
      </c>
      <c r="U671" s="33">
        <v>42824</v>
      </c>
      <c r="V671" s="32"/>
    </row>
    <row r="672" spans="1:22" ht="19.5" customHeight="1" x14ac:dyDescent="0.3">
      <c r="A672" s="34">
        <v>2017</v>
      </c>
      <c r="B672" s="35">
        <v>42736</v>
      </c>
      <c r="C672" s="34">
        <v>3000</v>
      </c>
      <c r="D672" s="12" t="s">
        <v>150</v>
      </c>
      <c r="E672" s="6">
        <v>1105474</v>
      </c>
      <c r="F672" s="6">
        <v>1105474</v>
      </c>
      <c r="G672" s="36">
        <v>0</v>
      </c>
      <c r="H672" s="34">
        <v>3300</v>
      </c>
      <c r="I672" s="12" t="s">
        <v>150</v>
      </c>
      <c r="J672" s="6">
        <v>0</v>
      </c>
      <c r="K672" s="6">
        <v>0</v>
      </c>
      <c r="L672" s="6">
        <v>0</v>
      </c>
      <c r="M672" s="37">
        <v>62</v>
      </c>
      <c r="N672" s="8" t="s">
        <v>247</v>
      </c>
      <c r="O672" s="29" t="s">
        <v>245</v>
      </c>
      <c r="P672" s="29" t="s">
        <v>245</v>
      </c>
      <c r="Q672" s="29" t="s">
        <v>245</v>
      </c>
      <c r="R672" s="30">
        <v>42835</v>
      </c>
      <c r="S672" s="31" t="s">
        <v>246</v>
      </c>
      <c r="T672" s="32">
        <v>2017</v>
      </c>
      <c r="U672" s="33">
        <v>42824</v>
      </c>
      <c r="V672" s="32"/>
    </row>
    <row r="673" spans="1:22" ht="19.5" customHeight="1" x14ac:dyDescent="0.3">
      <c r="A673" s="34">
        <v>2017</v>
      </c>
      <c r="B673" s="35">
        <v>42736</v>
      </c>
      <c r="C673" s="34">
        <v>3000</v>
      </c>
      <c r="D673" s="12" t="s">
        <v>151</v>
      </c>
      <c r="E673" s="6">
        <v>2445000</v>
      </c>
      <c r="F673" s="6">
        <v>2445000</v>
      </c>
      <c r="G673" s="36">
        <v>0</v>
      </c>
      <c r="H673" s="34">
        <v>3300</v>
      </c>
      <c r="I673" s="12" t="s">
        <v>151</v>
      </c>
      <c r="J673" s="6">
        <v>0</v>
      </c>
      <c r="K673" s="6">
        <v>0</v>
      </c>
      <c r="L673" s="6">
        <v>0</v>
      </c>
      <c r="M673" s="28">
        <v>63</v>
      </c>
      <c r="N673" s="8" t="s">
        <v>247</v>
      </c>
      <c r="O673" s="29" t="s">
        <v>245</v>
      </c>
      <c r="P673" s="29" t="s">
        <v>245</v>
      </c>
      <c r="Q673" s="29" t="s">
        <v>245</v>
      </c>
      <c r="R673" s="30">
        <v>42835</v>
      </c>
      <c r="S673" s="31" t="s">
        <v>246</v>
      </c>
      <c r="T673" s="32">
        <v>2017</v>
      </c>
      <c r="U673" s="33">
        <v>42824</v>
      </c>
      <c r="V673" s="32"/>
    </row>
    <row r="674" spans="1:22" ht="19.5" customHeight="1" x14ac:dyDescent="0.3">
      <c r="A674" s="34">
        <v>2017</v>
      </c>
      <c r="B674" s="35">
        <v>42736</v>
      </c>
      <c r="C674" s="34">
        <v>3000</v>
      </c>
      <c r="D674" s="12" t="s">
        <v>152</v>
      </c>
      <c r="E674" s="6">
        <v>951024.69</v>
      </c>
      <c r="F674" s="6">
        <v>951024.69</v>
      </c>
      <c r="G674" s="36">
        <v>951024.69</v>
      </c>
      <c r="H674" s="34">
        <v>3300</v>
      </c>
      <c r="I674" s="12" t="s">
        <v>152</v>
      </c>
      <c r="J674" s="6">
        <v>48577.51</v>
      </c>
      <c r="K674" s="6">
        <v>48577.51</v>
      </c>
      <c r="L674" s="6">
        <v>48577.51</v>
      </c>
      <c r="M674" s="37">
        <v>64</v>
      </c>
      <c r="N674" s="8" t="s">
        <v>247</v>
      </c>
      <c r="O674" s="29" t="s">
        <v>245</v>
      </c>
      <c r="P674" s="29" t="s">
        <v>245</v>
      </c>
      <c r="Q674" s="29" t="s">
        <v>245</v>
      </c>
      <c r="R674" s="30">
        <v>42835</v>
      </c>
      <c r="S674" s="31" t="s">
        <v>246</v>
      </c>
      <c r="T674" s="32">
        <v>2017</v>
      </c>
      <c r="U674" s="33">
        <v>42824</v>
      </c>
      <c r="V674" s="32"/>
    </row>
    <row r="675" spans="1:22" ht="19.5" customHeight="1" x14ac:dyDescent="0.3">
      <c r="A675" s="34">
        <v>2017</v>
      </c>
      <c r="B675" s="35">
        <v>42736</v>
      </c>
      <c r="C675" s="34">
        <v>3000</v>
      </c>
      <c r="D675" s="12" t="s">
        <v>153</v>
      </c>
      <c r="E675" s="6">
        <v>725920</v>
      </c>
      <c r="F675" s="6">
        <v>725920</v>
      </c>
      <c r="G675" s="36">
        <v>0</v>
      </c>
      <c r="H675" s="34">
        <v>3300</v>
      </c>
      <c r="I675" s="12" t="s">
        <v>153</v>
      </c>
      <c r="J675" s="6">
        <v>0</v>
      </c>
      <c r="K675" s="6">
        <v>0</v>
      </c>
      <c r="L675" s="6">
        <v>0</v>
      </c>
      <c r="M675" s="28">
        <v>65</v>
      </c>
      <c r="N675" s="8" t="s">
        <v>247</v>
      </c>
      <c r="O675" s="29" t="s">
        <v>245</v>
      </c>
      <c r="P675" s="29" t="s">
        <v>245</v>
      </c>
      <c r="Q675" s="29" t="s">
        <v>245</v>
      </c>
      <c r="R675" s="30">
        <v>42835</v>
      </c>
      <c r="S675" s="31" t="s">
        <v>246</v>
      </c>
      <c r="T675" s="32">
        <v>2017</v>
      </c>
      <c r="U675" s="33">
        <v>42824</v>
      </c>
      <c r="V675" s="32"/>
    </row>
    <row r="676" spans="1:22" ht="19.5" customHeight="1" x14ac:dyDescent="0.3">
      <c r="A676" s="34">
        <v>2017</v>
      </c>
      <c r="B676" s="35">
        <v>42736</v>
      </c>
      <c r="C676" s="34">
        <v>3000</v>
      </c>
      <c r="D676" s="12" t="s">
        <v>154</v>
      </c>
      <c r="E676" s="6">
        <v>26138849</v>
      </c>
      <c r="F676" s="6">
        <v>26138849</v>
      </c>
      <c r="G676" s="36">
        <v>26138849.039999999</v>
      </c>
      <c r="H676" s="34">
        <v>3300</v>
      </c>
      <c r="I676" s="12" t="s">
        <v>154</v>
      </c>
      <c r="J676" s="6">
        <v>0</v>
      </c>
      <c r="K676" s="6">
        <v>0</v>
      </c>
      <c r="L676" s="6">
        <v>0</v>
      </c>
      <c r="M676" s="37">
        <v>66</v>
      </c>
      <c r="N676" s="8" t="s">
        <v>247</v>
      </c>
      <c r="O676" s="29" t="s">
        <v>245</v>
      </c>
      <c r="P676" s="29" t="s">
        <v>245</v>
      </c>
      <c r="Q676" s="29" t="s">
        <v>245</v>
      </c>
      <c r="R676" s="30">
        <v>42835</v>
      </c>
      <c r="S676" s="31" t="s">
        <v>246</v>
      </c>
      <c r="T676" s="32">
        <v>2017</v>
      </c>
      <c r="U676" s="33">
        <v>42824</v>
      </c>
      <c r="V676" s="32"/>
    </row>
    <row r="677" spans="1:22" ht="19.5" customHeight="1" x14ac:dyDescent="0.3">
      <c r="A677" s="34">
        <v>2017</v>
      </c>
      <c r="B677" s="35">
        <v>42736</v>
      </c>
      <c r="C677" s="34">
        <v>3000</v>
      </c>
      <c r="D677" s="12" t="s">
        <v>155</v>
      </c>
      <c r="E677" s="6">
        <v>4846320</v>
      </c>
      <c r="F677" s="6">
        <v>4846320</v>
      </c>
      <c r="G677" s="36">
        <v>1471924</v>
      </c>
      <c r="H677" s="34">
        <v>3300</v>
      </c>
      <c r="I677" s="12" t="s">
        <v>155</v>
      </c>
      <c r="J677" s="6">
        <v>0</v>
      </c>
      <c r="K677" s="6">
        <v>0</v>
      </c>
      <c r="L677" s="6">
        <v>0</v>
      </c>
      <c r="M677" s="28">
        <v>67</v>
      </c>
      <c r="N677" s="8" t="s">
        <v>247</v>
      </c>
      <c r="O677" s="29" t="s">
        <v>245</v>
      </c>
      <c r="P677" s="29" t="s">
        <v>245</v>
      </c>
      <c r="Q677" s="29" t="s">
        <v>245</v>
      </c>
      <c r="R677" s="30">
        <v>42835</v>
      </c>
      <c r="S677" s="31" t="s">
        <v>246</v>
      </c>
      <c r="T677" s="32">
        <v>2017</v>
      </c>
      <c r="U677" s="33">
        <v>42824</v>
      </c>
      <c r="V677" s="32"/>
    </row>
    <row r="678" spans="1:22" ht="19.5" customHeight="1" x14ac:dyDescent="0.3">
      <c r="A678" s="34">
        <v>2017</v>
      </c>
      <c r="B678" s="35">
        <v>42736</v>
      </c>
      <c r="C678" s="34">
        <v>3000</v>
      </c>
      <c r="D678" s="12" t="s">
        <v>157</v>
      </c>
      <c r="E678" s="6">
        <v>2627929.5</v>
      </c>
      <c r="F678" s="6">
        <v>2627929.5</v>
      </c>
      <c r="G678" s="36">
        <v>2365430</v>
      </c>
      <c r="H678" s="34">
        <v>3400</v>
      </c>
      <c r="I678" s="12" t="s">
        <v>157</v>
      </c>
      <c r="J678" s="6">
        <v>15995.38</v>
      </c>
      <c r="K678" s="6">
        <v>15995.38</v>
      </c>
      <c r="L678" s="6">
        <v>15995.38</v>
      </c>
      <c r="M678" s="37">
        <v>68</v>
      </c>
      <c r="N678" s="8" t="s">
        <v>247</v>
      </c>
      <c r="O678" s="29" t="s">
        <v>245</v>
      </c>
      <c r="P678" s="29" t="s">
        <v>245</v>
      </c>
      <c r="Q678" s="29" t="s">
        <v>245</v>
      </c>
      <c r="R678" s="30">
        <v>42835</v>
      </c>
      <c r="S678" s="31" t="s">
        <v>246</v>
      </c>
      <c r="T678" s="32">
        <v>2017</v>
      </c>
      <c r="U678" s="33">
        <v>42824</v>
      </c>
      <c r="V678" s="32"/>
    </row>
    <row r="679" spans="1:22" ht="19.5" customHeight="1" x14ac:dyDescent="0.3">
      <c r="A679" s="34">
        <v>2017</v>
      </c>
      <c r="B679" s="35">
        <v>42736</v>
      </c>
      <c r="C679" s="34">
        <v>3000</v>
      </c>
      <c r="D679" s="12" t="s">
        <v>159</v>
      </c>
      <c r="E679" s="6">
        <v>330000</v>
      </c>
      <c r="F679" s="6">
        <v>330000</v>
      </c>
      <c r="G679" s="36">
        <v>0</v>
      </c>
      <c r="H679" s="34">
        <v>3400</v>
      </c>
      <c r="I679" s="12" t="s">
        <v>159</v>
      </c>
      <c r="J679" s="6">
        <v>0</v>
      </c>
      <c r="K679" s="6">
        <v>0</v>
      </c>
      <c r="L679" s="6">
        <v>0</v>
      </c>
      <c r="M679" s="28">
        <v>69</v>
      </c>
      <c r="N679" s="8" t="s">
        <v>247</v>
      </c>
      <c r="O679" s="29" t="s">
        <v>245</v>
      </c>
      <c r="P679" s="29" t="s">
        <v>245</v>
      </c>
      <c r="Q679" s="29" t="s">
        <v>245</v>
      </c>
      <c r="R679" s="30">
        <v>42835</v>
      </c>
      <c r="S679" s="31" t="s">
        <v>246</v>
      </c>
      <c r="T679" s="32">
        <v>2017</v>
      </c>
      <c r="U679" s="33">
        <v>42824</v>
      </c>
      <c r="V679" s="32"/>
    </row>
    <row r="680" spans="1:22" ht="19.5" customHeight="1" x14ac:dyDescent="0.3">
      <c r="A680" s="34">
        <v>2017</v>
      </c>
      <c r="B680" s="35">
        <v>42736</v>
      </c>
      <c r="C680" s="34">
        <v>3000</v>
      </c>
      <c r="D680" s="12" t="s">
        <v>161</v>
      </c>
      <c r="E680" s="6">
        <v>20000</v>
      </c>
      <c r="F680" s="6">
        <v>20000</v>
      </c>
      <c r="G680" s="36">
        <v>0</v>
      </c>
      <c r="H680" s="34">
        <v>3500</v>
      </c>
      <c r="I680" s="12" t="s">
        <v>161</v>
      </c>
      <c r="J680" s="6">
        <v>0</v>
      </c>
      <c r="K680" s="6">
        <v>0</v>
      </c>
      <c r="L680" s="6">
        <v>0</v>
      </c>
      <c r="M680" s="37">
        <v>70</v>
      </c>
      <c r="N680" s="8" t="s">
        <v>247</v>
      </c>
      <c r="O680" s="29" t="s">
        <v>245</v>
      </c>
      <c r="P680" s="29" t="s">
        <v>245</v>
      </c>
      <c r="Q680" s="29" t="s">
        <v>245</v>
      </c>
      <c r="R680" s="30">
        <v>42835</v>
      </c>
      <c r="S680" s="31" t="s">
        <v>246</v>
      </c>
      <c r="T680" s="32">
        <v>2017</v>
      </c>
      <c r="U680" s="33">
        <v>42824</v>
      </c>
      <c r="V680" s="32"/>
    </row>
    <row r="681" spans="1:22" ht="19.5" customHeight="1" x14ac:dyDescent="0.3">
      <c r="A681" s="34">
        <v>2017</v>
      </c>
      <c r="B681" s="35">
        <v>42736</v>
      </c>
      <c r="C681" s="34">
        <v>3000</v>
      </c>
      <c r="D681" s="12" t="s">
        <v>162</v>
      </c>
      <c r="E681" s="6">
        <v>3965060</v>
      </c>
      <c r="F681" s="6">
        <v>3965060</v>
      </c>
      <c r="G681" s="36">
        <v>4663200</v>
      </c>
      <c r="H681" s="34">
        <v>3500</v>
      </c>
      <c r="I681" s="12" t="s">
        <v>162</v>
      </c>
      <c r="J681" s="6">
        <v>0</v>
      </c>
      <c r="K681" s="6">
        <v>0</v>
      </c>
      <c r="L681" s="6">
        <v>0</v>
      </c>
      <c r="M681" s="28">
        <v>71</v>
      </c>
      <c r="N681" s="8" t="s">
        <v>247</v>
      </c>
      <c r="O681" s="29" t="s">
        <v>245</v>
      </c>
      <c r="P681" s="29" t="s">
        <v>245</v>
      </c>
      <c r="Q681" s="29" t="s">
        <v>245</v>
      </c>
      <c r="R681" s="30">
        <v>42835</v>
      </c>
      <c r="S681" s="31" t="s">
        <v>246</v>
      </c>
      <c r="T681" s="32">
        <v>2017</v>
      </c>
      <c r="U681" s="33">
        <v>42824</v>
      </c>
      <c r="V681" s="32"/>
    </row>
    <row r="682" spans="1:22" ht="19.5" customHeight="1" x14ac:dyDescent="0.3">
      <c r="A682" s="34">
        <v>2017</v>
      </c>
      <c r="B682" s="35">
        <v>42736</v>
      </c>
      <c r="C682" s="34">
        <v>3000</v>
      </c>
      <c r="D682" s="12" t="s">
        <v>163</v>
      </c>
      <c r="E682" s="6">
        <v>350000</v>
      </c>
      <c r="F682" s="6">
        <v>350000</v>
      </c>
      <c r="G682" s="36">
        <v>0</v>
      </c>
      <c r="H682" s="34">
        <v>3500</v>
      </c>
      <c r="I682" s="12" t="s">
        <v>163</v>
      </c>
      <c r="J682" s="6">
        <v>0</v>
      </c>
      <c r="K682" s="6">
        <v>0</v>
      </c>
      <c r="L682" s="6">
        <v>0</v>
      </c>
      <c r="M682" s="37">
        <v>72</v>
      </c>
      <c r="N682" s="8" t="s">
        <v>247</v>
      </c>
      <c r="O682" s="29" t="s">
        <v>245</v>
      </c>
      <c r="P682" s="29" t="s">
        <v>245</v>
      </c>
      <c r="Q682" s="29" t="s">
        <v>245</v>
      </c>
      <c r="R682" s="30">
        <v>42835</v>
      </c>
      <c r="S682" s="31" t="s">
        <v>246</v>
      </c>
      <c r="T682" s="32">
        <v>2017</v>
      </c>
      <c r="U682" s="33">
        <v>42824</v>
      </c>
      <c r="V682" s="32"/>
    </row>
    <row r="683" spans="1:22" ht="19.5" customHeight="1" x14ac:dyDescent="0.3">
      <c r="A683" s="34">
        <v>2017</v>
      </c>
      <c r="B683" s="35">
        <v>42736</v>
      </c>
      <c r="C683" s="34">
        <v>3000</v>
      </c>
      <c r="D683" s="12" t="s">
        <v>164</v>
      </c>
      <c r="E683" s="6">
        <v>483437.5</v>
      </c>
      <c r="F683" s="6">
        <v>483437.5</v>
      </c>
      <c r="G683" s="36">
        <v>483437.5</v>
      </c>
      <c r="H683" s="34">
        <v>3500</v>
      </c>
      <c r="I683" s="12" t="s">
        <v>164</v>
      </c>
      <c r="J683" s="6">
        <v>0</v>
      </c>
      <c r="K683" s="6">
        <v>0</v>
      </c>
      <c r="L683" s="6">
        <v>0</v>
      </c>
      <c r="M683" s="28">
        <v>73</v>
      </c>
      <c r="N683" s="8" t="s">
        <v>247</v>
      </c>
      <c r="O683" s="29" t="s">
        <v>245</v>
      </c>
      <c r="P683" s="29" t="s">
        <v>245</v>
      </c>
      <c r="Q683" s="29" t="s">
        <v>245</v>
      </c>
      <c r="R683" s="30">
        <v>42835</v>
      </c>
      <c r="S683" s="31" t="s">
        <v>246</v>
      </c>
      <c r="T683" s="32">
        <v>2017</v>
      </c>
      <c r="U683" s="33">
        <v>42824</v>
      </c>
      <c r="V683" s="32"/>
    </row>
    <row r="684" spans="1:22" ht="19.5" customHeight="1" x14ac:dyDescent="0.3">
      <c r="A684" s="34">
        <v>2017</v>
      </c>
      <c r="B684" s="35">
        <v>42736</v>
      </c>
      <c r="C684" s="34">
        <v>3000</v>
      </c>
      <c r="D684" s="12" t="s">
        <v>165</v>
      </c>
      <c r="E684" s="6">
        <v>445000</v>
      </c>
      <c r="F684" s="6">
        <v>445000</v>
      </c>
      <c r="G684" s="36">
        <v>185170.52</v>
      </c>
      <c r="H684" s="34">
        <v>3500</v>
      </c>
      <c r="I684" s="12" t="s">
        <v>165</v>
      </c>
      <c r="J684" s="6">
        <v>0</v>
      </c>
      <c r="K684" s="6">
        <v>0</v>
      </c>
      <c r="L684" s="6">
        <v>0</v>
      </c>
      <c r="M684" s="37">
        <v>74</v>
      </c>
      <c r="N684" s="8" t="s">
        <v>247</v>
      </c>
      <c r="O684" s="29" t="s">
        <v>245</v>
      </c>
      <c r="P684" s="29" t="s">
        <v>245</v>
      </c>
      <c r="Q684" s="29" t="s">
        <v>245</v>
      </c>
      <c r="R684" s="30">
        <v>42835</v>
      </c>
      <c r="S684" s="31" t="s">
        <v>246</v>
      </c>
      <c r="T684" s="32">
        <v>2017</v>
      </c>
      <c r="U684" s="33">
        <v>42824</v>
      </c>
      <c r="V684" s="32"/>
    </row>
    <row r="685" spans="1:22" ht="19.5" customHeight="1" x14ac:dyDescent="0.3">
      <c r="A685" s="34">
        <v>2017</v>
      </c>
      <c r="B685" s="35">
        <v>42736</v>
      </c>
      <c r="C685" s="34">
        <v>3000</v>
      </c>
      <c r="D685" s="12" t="s">
        <v>166</v>
      </c>
      <c r="E685" s="6">
        <v>7346000</v>
      </c>
      <c r="F685" s="6">
        <v>7346000</v>
      </c>
      <c r="G685" s="36">
        <v>3124319.5700000003</v>
      </c>
      <c r="H685" s="34">
        <v>3500</v>
      </c>
      <c r="I685" s="12" t="s">
        <v>166</v>
      </c>
      <c r="J685" s="6">
        <v>0</v>
      </c>
      <c r="K685" s="6">
        <v>0</v>
      </c>
      <c r="L685" s="6">
        <v>0</v>
      </c>
      <c r="M685" s="28">
        <v>75</v>
      </c>
      <c r="N685" s="8" t="s">
        <v>247</v>
      </c>
      <c r="O685" s="29" t="s">
        <v>245</v>
      </c>
      <c r="P685" s="29" t="s">
        <v>245</v>
      </c>
      <c r="Q685" s="29" t="s">
        <v>245</v>
      </c>
      <c r="R685" s="30">
        <v>42835</v>
      </c>
      <c r="S685" s="31" t="s">
        <v>246</v>
      </c>
      <c r="T685" s="32">
        <v>2017</v>
      </c>
      <c r="U685" s="33">
        <v>42824</v>
      </c>
      <c r="V685" s="32"/>
    </row>
    <row r="686" spans="1:22" ht="19.5" customHeight="1" x14ac:dyDescent="0.3">
      <c r="A686" s="34">
        <v>2017</v>
      </c>
      <c r="B686" s="35">
        <v>42736</v>
      </c>
      <c r="C686" s="34">
        <v>3000</v>
      </c>
      <c r="D686" s="12" t="s">
        <v>167</v>
      </c>
      <c r="E686" s="6">
        <v>23000</v>
      </c>
      <c r="F686" s="6">
        <v>23000</v>
      </c>
      <c r="G686" s="36">
        <v>22272</v>
      </c>
      <c r="H686" s="34">
        <v>3500</v>
      </c>
      <c r="I686" s="12" t="s">
        <v>167</v>
      </c>
      <c r="J686" s="6">
        <v>1856</v>
      </c>
      <c r="K686" s="6">
        <v>1856</v>
      </c>
      <c r="L686" s="6">
        <v>1856</v>
      </c>
      <c r="M686" s="37">
        <v>76</v>
      </c>
      <c r="N686" s="8" t="s">
        <v>247</v>
      </c>
      <c r="O686" s="29" t="s">
        <v>245</v>
      </c>
      <c r="P686" s="29" t="s">
        <v>245</v>
      </c>
      <c r="Q686" s="29" t="s">
        <v>245</v>
      </c>
      <c r="R686" s="30">
        <v>42835</v>
      </c>
      <c r="S686" s="31" t="s">
        <v>246</v>
      </c>
      <c r="T686" s="32">
        <v>2017</v>
      </c>
      <c r="U686" s="33">
        <v>42824</v>
      </c>
      <c r="V686" s="32"/>
    </row>
    <row r="687" spans="1:22" ht="19.5" customHeight="1" x14ac:dyDescent="0.3">
      <c r="A687" s="34">
        <v>2017</v>
      </c>
      <c r="B687" s="35">
        <v>42736</v>
      </c>
      <c r="C687" s="34">
        <v>3000</v>
      </c>
      <c r="D687" s="12" t="s">
        <v>168</v>
      </c>
      <c r="E687" s="6">
        <v>345060.9</v>
      </c>
      <c r="F687" s="6">
        <v>345060.9</v>
      </c>
      <c r="G687" s="36">
        <v>214987.5</v>
      </c>
      <c r="H687" s="34">
        <v>3500</v>
      </c>
      <c r="I687" s="12" t="s">
        <v>168</v>
      </c>
      <c r="J687" s="6">
        <v>12760</v>
      </c>
      <c r="K687" s="6">
        <v>12760</v>
      </c>
      <c r="L687" s="6">
        <v>12760</v>
      </c>
      <c r="M687" s="28">
        <v>77</v>
      </c>
      <c r="N687" s="8" t="s">
        <v>247</v>
      </c>
      <c r="O687" s="29" t="s">
        <v>245</v>
      </c>
      <c r="P687" s="29" t="s">
        <v>245</v>
      </c>
      <c r="Q687" s="29" t="s">
        <v>245</v>
      </c>
      <c r="R687" s="30">
        <v>42835</v>
      </c>
      <c r="S687" s="31" t="s">
        <v>246</v>
      </c>
      <c r="T687" s="32">
        <v>2017</v>
      </c>
      <c r="U687" s="33">
        <v>42824</v>
      </c>
      <c r="V687" s="32"/>
    </row>
    <row r="688" spans="1:22" ht="19.5" customHeight="1" x14ac:dyDescent="0.3">
      <c r="A688" s="34">
        <v>2017</v>
      </c>
      <c r="B688" s="35">
        <v>42736</v>
      </c>
      <c r="C688" s="34">
        <v>3000</v>
      </c>
      <c r="D688" s="12" t="s">
        <v>169</v>
      </c>
      <c r="E688" s="6">
        <v>5787000</v>
      </c>
      <c r="F688" s="6">
        <v>5787000</v>
      </c>
      <c r="G688" s="36">
        <v>4272709.2</v>
      </c>
      <c r="H688" s="34">
        <v>3600</v>
      </c>
      <c r="I688" s="12" t="s">
        <v>169</v>
      </c>
      <c r="J688" s="6">
        <v>20880</v>
      </c>
      <c r="K688" s="6">
        <v>20880</v>
      </c>
      <c r="L688" s="6">
        <v>20880</v>
      </c>
      <c r="M688" s="37">
        <v>78</v>
      </c>
      <c r="N688" s="8" t="s">
        <v>247</v>
      </c>
      <c r="O688" s="29" t="s">
        <v>245</v>
      </c>
      <c r="P688" s="29" t="s">
        <v>245</v>
      </c>
      <c r="Q688" s="29" t="s">
        <v>245</v>
      </c>
      <c r="R688" s="30">
        <v>42835</v>
      </c>
      <c r="S688" s="31" t="s">
        <v>246</v>
      </c>
      <c r="T688" s="32">
        <v>2017</v>
      </c>
      <c r="U688" s="33">
        <v>42824</v>
      </c>
      <c r="V688" s="32"/>
    </row>
    <row r="689" spans="1:22" ht="19.5" customHeight="1" x14ac:dyDescent="0.3">
      <c r="A689" s="34">
        <v>2017</v>
      </c>
      <c r="B689" s="35">
        <v>42736</v>
      </c>
      <c r="C689" s="34">
        <v>3000</v>
      </c>
      <c r="D689" s="12" t="s">
        <v>173</v>
      </c>
      <c r="E689" s="6">
        <v>297178.88</v>
      </c>
      <c r="F689" s="6">
        <v>297178.88</v>
      </c>
      <c r="G689" s="36">
        <v>1637.92</v>
      </c>
      <c r="H689" s="34">
        <v>3700</v>
      </c>
      <c r="I689" s="12" t="s">
        <v>173</v>
      </c>
      <c r="J689" s="6">
        <v>1020</v>
      </c>
      <c r="K689" s="6">
        <v>1020</v>
      </c>
      <c r="L689" s="6">
        <v>1020</v>
      </c>
      <c r="M689" s="28">
        <v>79</v>
      </c>
      <c r="N689" s="8" t="s">
        <v>247</v>
      </c>
      <c r="O689" s="29" t="s">
        <v>245</v>
      </c>
      <c r="P689" s="29" t="s">
        <v>245</v>
      </c>
      <c r="Q689" s="29" t="s">
        <v>245</v>
      </c>
      <c r="R689" s="30">
        <v>42835</v>
      </c>
      <c r="S689" s="31" t="s">
        <v>246</v>
      </c>
      <c r="T689" s="32">
        <v>2017</v>
      </c>
      <c r="U689" s="33">
        <v>42824</v>
      </c>
      <c r="V689" s="32"/>
    </row>
    <row r="690" spans="1:22" ht="19.5" customHeight="1" x14ac:dyDescent="0.3">
      <c r="A690" s="34">
        <v>2017</v>
      </c>
      <c r="B690" s="35">
        <v>42736</v>
      </c>
      <c r="C690" s="34">
        <v>3000</v>
      </c>
      <c r="D690" s="12" t="s">
        <v>174</v>
      </c>
      <c r="E690" s="6">
        <v>435000</v>
      </c>
      <c r="F690" s="6">
        <v>435000</v>
      </c>
      <c r="G690" s="36">
        <v>0</v>
      </c>
      <c r="H690" s="34">
        <v>3700</v>
      </c>
      <c r="I690" s="12" t="s">
        <v>174</v>
      </c>
      <c r="J690" s="6">
        <v>0</v>
      </c>
      <c r="K690" s="6">
        <v>0</v>
      </c>
      <c r="L690" s="6">
        <v>0</v>
      </c>
      <c r="M690" s="37">
        <v>80</v>
      </c>
      <c r="N690" s="8" t="s">
        <v>247</v>
      </c>
      <c r="O690" s="29" t="s">
        <v>245</v>
      </c>
      <c r="P690" s="29" t="s">
        <v>245</v>
      </c>
      <c r="Q690" s="29" t="s">
        <v>245</v>
      </c>
      <c r="R690" s="30">
        <v>42835</v>
      </c>
      <c r="S690" s="31" t="s">
        <v>246</v>
      </c>
      <c r="T690" s="32">
        <v>2017</v>
      </c>
      <c r="U690" s="33">
        <v>42824</v>
      </c>
      <c r="V690" s="32"/>
    </row>
    <row r="691" spans="1:22" ht="19.5" customHeight="1" x14ac:dyDescent="0.3">
      <c r="A691" s="34">
        <v>2017</v>
      </c>
      <c r="B691" s="35">
        <v>42736</v>
      </c>
      <c r="C691" s="34">
        <v>3000</v>
      </c>
      <c r="D691" s="12" t="s">
        <v>175</v>
      </c>
      <c r="E691" s="6">
        <v>93800</v>
      </c>
      <c r="F691" s="6">
        <v>93800</v>
      </c>
      <c r="G691" s="36">
        <v>0</v>
      </c>
      <c r="H691" s="34">
        <v>3700</v>
      </c>
      <c r="I691" s="12" t="s">
        <v>175</v>
      </c>
      <c r="J691" s="6">
        <v>0</v>
      </c>
      <c r="K691" s="6">
        <v>0</v>
      </c>
      <c r="L691" s="6">
        <v>0</v>
      </c>
      <c r="M691" s="28">
        <v>81</v>
      </c>
      <c r="N691" s="8" t="s">
        <v>247</v>
      </c>
      <c r="O691" s="29" t="s">
        <v>245</v>
      </c>
      <c r="P691" s="29" t="s">
        <v>245</v>
      </c>
      <c r="Q691" s="29" t="s">
        <v>245</v>
      </c>
      <c r="R691" s="30">
        <v>42835</v>
      </c>
      <c r="S691" s="31" t="s">
        <v>246</v>
      </c>
      <c r="T691" s="32">
        <v>2017</v>
      </c>
      <c r="U691" s="33">
        <v>42824</v>
      </c>
      <c r="V691" s="32"/>
    </row>
    <row r="692" spans="1:22" ht="19.5" customHeight="1" x14ac:dyDescent="0.3">
      <c r="A692" s="34">
        <v>2017</v>
      </c>
      <c r="B692" s="35">
        <v>42736</v>
      </c>
      <c r="C692" s="34">
        <v>3000</v>
      </c>
      <c r="D692" s="12" t="s">
        <v>176</v>
      </c>
      <c r="E692" s="6">
        <v>144440</v>
      </c>
      <c r="F692" s="6">
        <v>169440</v>
      </c>
      <c r="G692" s="36">
        <v>25290</v>
      </c>
      <c r="H692" s="34">
        <v>3700</v>
      </c>
      <c r="I692" s="12" t="s">
        <v>176</v>
      </c>
      <c r="J692" s="6">
        <v>0</v>
      </c>
      <c r="K692" s="6">
        <v>0</v>
      </c>
      <c r="L692" s="6">
        <v>0</v>
      </c>
      <c r="M692" s="37">
        <v>82</v>
      </c>
      <c r="N692" s="8" t="s">
        <v>247</v>
      </c>
      <c r="O692" s="29" t="s">
        <v>245</v>
      </c>
      <c r="P692" s="29" t="s">
        <v>245</v>
      </c>
      <c r="Q692" s="29" t="s">
        <v>245</v>
      </c>
      <c r="R692" s="30">
        <v>42835</v>
      </c>
      <c r="S692" s="31" t="s">
        <v>246</v>
      </c>
      <c r="T692" s="32">
        <v>2017</v>
      </c>
      <c r="U692" s="33">
        <v>42824</v>
      </c>
      <c r="V692" s="32"/>
    </row>
    <row r="693" spans="1:22" ht="19.5" customHeight="1" x14ac:dyDescent="0.3">
      <c r="A693" s="34">
        <v>2017</v>
      </c>
      <c r="B693" s="35">
        <v>42736</v>
      </c>
      <c r="C693" s="34">
        <v>3000</v>
      </c>
      <c r="D693" s="12" t="s">
        <v>179</v>
      </c>
      <c r="E693" s="6">
        <v>533258</v>
      </c>
      <c r="F693" s="6">
        <v>533258</v>
      </c>
      <c r="G693" s="36">
        <v>0</v>
      </c>
      <c r="H693" s="34">
        <v>3700</v>
      </c>
      <c r="I693" s="12" t="s">
        <v>179</v>
      </c>
      <c r="J693" s="6">
        <v>0</v>
      </c>
      <c r="K693" s="6">
        <v>0</v>
      </c>
      <c r="L693" s="6">
        <v>0</v>
      </c>
      <c r="M693" s="28">
        <v>83</v>
      </c>
      <c r="N693" s="8" t="s">
        <v>247</v>
      </c>
      <c r="O693" s="29" t="s">
        <v>245</v>
      </c>
      <c r="P693" s="29" t="s">
        <v>245</v>
      </c>
      <c r="Q693" s="29" t="s">
        <v>245</v>
      </c>
      <c r="R693" s="30">
        <v>42835</v>
      </c>
      <c r="S693" s="31" t="s">
        <v>246</v>
      </c>
      <c r="T693" s="32">
        <v>2017</v>
      </c>
      <c r="U693" s="33">
        <v>42824</v>
      </c>
      <c r="V693" s="32"/>
    </row>
    <row r="694" spans="1:22" ht="19.5" customHeight="1" x14ac:dyDescent="0.3">
      <c r="A694" s="34">
        <v>2017</v>
      </c>
      <c r="B694" s="35">
        <v>42736</v>
      </c>
      <c r="C694" s="34">
        <v>3000</v>
      </c>
      <c r="D694" s="12" t="s">
        <v>180</v>
      </c>
      <c r="E694" s="6">
        <v>430000</v>
      </c>
      <c r="F694" s="6">
        <v>430000</v>
      </c>
      <c r="G694" s="36">
        <v>0</v>
      </c>
      <c r="H694" s="34">
        <v>3700</v>
      </c>
      <c r="I694" s="12" t="s">
        <v>180</v>
      </c>
      <c r="J694" s="6">
        <v>0</v>
      </c>
      <c r="K694" s="6">
        <v>0</v>
      </c>
      <c r="L694" s="6">
        <v>0</v>
      </c>
      <c r="M694" s="37">
        <v>84</v>
      </c>
      <c r="N694" s="8" t="s">
        <v>247</v>
      </c>
      <c r="O694" s="29" t="s">
        <v>245</v>
      </c>
      <c r="P694" s="29" t="s">
        <v>245</v>
      </c>
      <c r="Q694" s="29" t="s">
        <v>245</v>
      </c>
      <c r="R694" s="30">
        <v>42835</v>
      </c>
      <c r="S694" s="31" t="s">
        <v>246</v>
      </c>
      <c r="T694" s="32">
        <v>2017</v>
      </c>
      <c r="U694" s="33">
        <v>42824</v>
      </c>
      <c r="V694" s="32"/>
    </row>
    <row r="695" spans="1:22" ht="19.5" customHeight="1" x14ac:dyDescent="0.3">
      <c r="A695" s="34">
        <v>2017</v>
      </c>
      <c r="B695" s="35">
        <v>42736</v>
      </c>
      <c r="C695" s="34">
        <v>3000</v>
      </c>
      <c r="D695" s="12" t="s">
        <v>183</v>
      </c>
      <c r="E695" s="6">
        <v>5071022.72</v>
      </c>
      <c r="F695" s="6">
        <v>5071022.72</v>
      </c>
      <c r="G695" s="36">
        <v>1457470.5</v>
      </c>
      <c r="H695" s="34">
        <v>3800</v>
      </c>
      <c r="I695" s="12" t="s">
        <v>183</v>
      </c>
      <c r="J695" s="6">
        <v>38819.46</v>
      </c>
      <c r="K695" s="6">
        <v>38819.46</v>
      </c>
      <c r="L695" s="6">
        <v>38819.46</v>
      </c>
      <c r="M695" s="28">
        <v>85</v>
      </c>
      <c r="N695" s="8" t="s">
        <v>247</v>
      </c>
      <c r="O695" s="29" t="s">
        <v>245</v>
      </c>
      <c r="P695" s="29" t="s">
        <v>245</v>
      </c>
      <c r="Q695" s="29" t="s">
        <v>245</v>
      </c>
      <c r="R695" s="30">
        <v>42835</v>
      </c>
      <c r="S695" s="31" t="s">
        <v>246</v>
      </c>
      <c r="T695" s="32">
        <v>2017</v>
      </c>
      <c r="U695" s="33">
        <v>42824</v>
      </c>
      <c r="V695" s="32"/>
    </row>
    <row r="696" spans="1:22" ht="19.5" customHeight="1" x14ac:dyDescent="0.3">
      <c r="A696" s="34">
        <v>2017</v>
      </c>
      <c r="B696" s="35">
        <v>42736</v>
      </c>
      <c r="C696" s="34">
        <v>3000</v>
      </c>
      <c r="D696" s="12" t="s">
        <v>184</v>
      </c>
      <c r="E696" s="6">
        <v>1549500</v>
      </c>
      <c r="F696" s="6">
        <v>1549500</v>
      </c>
      <c r="G696" s="36">
        <v>100000</v>
      </c>
      <c r="H696" s="34">
        <v>3800</v>
      </c>
      <c r="I696" s="12" t="s">
        <v>184</v>
      </c>
      <c r="J696" s="6">
        <v>0</v>
      </c>
      <c r="K696" s="6">
        <v>0</v>
      </c>
      <c r="L696" s="6">
        <v>0</v>
      </c>
      <c r="M696" s="37">
        <v>86</v>
      </c>
      <c r="N696" s="8" t="s">
        <v>247</v>
      </c>
      <c r="O696" s="29" t="s">
        <v>245</v>
      </c>
      <c r="P696" s="29" t="s">
        <v>245</v>
      </c>
      <c r="Q696" s="29" t="s">
        <v>245</v>
      </c>
      <c r="R696" s="30">
        <v>42835</v>
      </c>
      <c r="S696" s="31" t="s">
        <v>246</v>
      </c>
      <c r="T696" s="32">
        <v>2017</v>
      </c>
      <c r="U696" s="33">
        <v>42824</v>
      </c>
      <c r="V696" s="32"/>
    </row>
    <row r="697" spans="1:22" ht="19.5" customHeight="1" x14ac:dyDescent="0.3">
      <c r="A697" s="34">
        <v>2017</v>
      </c>
      <c r="B697" s="35">
        <v>42736</v>
      </c>
      <c r="C697" s="34">
        <v>3000</v>
      </c>
      <c r="D697" s="12" t="s">
        <v>185</v>
      </c>
      <c r="E697" s="6">
        <v>1475557</v>
      </c>
      <c r="F697" s="6">
        <v>1475557</v>
      </c>
      <c r="G697" s="36">
        <v>0</v>
      </c>
      <c r="H697" s="34">
        <v>3800</v>
      </c>
      <c r="I697" s="12" t="s">
        <v>185</v>
      </c>
      <c r="J697" s="6">
        <v>0</v>
      </c>
      <c r="K697" s="6">
        <v>0</v>
      </c>
      <c r="L697" s="6">
        <v>0</v>
      </c>
      <c r="M697" s="28">
        <v>87</v>
      </c>
      <c r="N697" s="8" t="s">
        <v>247</v>
      </c>
      <c r="O697" s="29" t="s">
        <v>245</v>
      </c>
      <c r="P697" s="29" t="s">
        <v>245</v>
      </c>
      <c r="Q697" s="29" t="s">
        <v>245</v>
      </c>
      <c r="R697" s="30">
        <v>42835</v>
      </c>
      <c r="S697" s="31" t="s">
        <v>246</v>
      </c>
      <c r="T697" s="32">
        <v>2017</v>
      </c>
      <c r="U697" s="33">
        <v>42824</v>
      </c>
      <c r="V697" s="32"/>
    </row>
    <row r="698" spans="1:22" ht="19.5" customHeight="1" x14ac:dyDescent="0.3">
      <c r="A698" s="34">
        <v>2017</v>
      </c>
      <c r="B698" s="35">
        <v>42736</v>
      </c>
      <c r="C698" s="34">
        <v>3000</v>
      </c>
      <c r="D698" s="7" t="s">
        <v>186</v>
      </c>
      <c r="E698" s="6">
        <v>506799</v>
      </c>
      <c r="F698" s="6">
        <v>506799</v>
      </c>
      <c r="G698" s="36">
        <v>212235</v>
      </c>
      <c r="H698" s="34">
        <v>3900</v>
      </c>
      <c r="I698" s="7" t="s">
        <v>186</v>
      </c>
      <c r="J698" s="6">
        <v>35312</v>
      </c>
      <c r="K698" s="6">
        <v>35312</v>
      </c>
      <c r="L698" s="6">
        <v>35312</v>
      </c>
      <c r="M698" s="37">
        <v>88</v>
      </c>
      <c r="N698" s="8" t="s">
        <v>247</v>
      </c>
      <c r="O698" s="29" t="s">
        <v>245</v>
      </c>
      <c r="P698" s="29" t="s">
        <v>245</v>
      </c>
      <c r="Q698" s="29" t="s">
        <v>245</v>
      </c>
      <c r="R698" s="30">
        <v>42835</v>
      </c>
      <c r="S698" s="31" t="s">
        <v>246</v>
      </c>
      <c r="T698" s="32">
        <v>2017</v>
      </c>
      <c r="U698" s="33">
        <v>42824</v>
      </c>
      <c r="V698" s="32"/>
    </row>
    <row r="699" spans="1:22" ht="19.5" customHeight="1" x14ac:dyDescent="0.3">
      <c r="A699" s="34">
        <v>2017</v>
      </c>
      <c r="B699" s="35">
        <v>42736</v>
      </c>
      <c r="C699" s="34">
        <v>3000</v>
      </c>
      <c r="D699" s="7" t="s">
        <v>188</v>
      </c>
      <c r="E699" s="6">
        <v>24699325.98</v>
      </c>
      <c r="F699" s="6">
        <v>24699325.98</v>
      </c>
      <c r="G699" s="36">
        <v>5525864</v>
      </c>
      <c r="H699" s="34">
        <v>3900</v>
      </c>
      <c r="I699" s="7" t="s">
        <v>188</v>
      </c>
      <c r="J699" s="6">
        <v>5452576</v>
      </c>
      <c r="K699" s="6">
        <v>5452576</v>
      </c>
      <c r="L699" s="6">
        <v>5452576</v>
      </c>
      <c r="M699" s="28">
        <v>89</v>
      </c>
      <c r="N699" s="8" t="s">
        <v>247</v>
      </c>
      <c r="O699" s="29" t="s">
        <v>245</v>
      </c>
      <c r="P699" s="29" t="s">
        <v>245</v>
      </c>
      <c r="Q699" s="29" t="s">
        <v>245</v>
      </c>
      <c r="R699" s="30">
        <v>42835</v>
      </c>
      <c r="S699" s="31" t="s">
        <v>246</v>
      </c>
      <c r="T699" s="32">
        <v>2017</v>
      </c>
      <c r="U699" s="33">
        <v>42824</v>
      </c>
      <c r="V699" s="32"/>
    </row>
    <row r="700" spans="1:22" ht="19.5" customHeight="1" x14ac:dyDescent="0.3">
      <c r="A700" s="34">
        <v>2017</v>
      </c>
      <c r="B700" s="35">
        <v>42736</v>
      </c>
      <c r="C700" s="34">
        <v>3000</v>
      </c>
      <c r="D700" s="7" t="s">
        <v>249</v>
      </c>
      <c r="E700" s="6">
        <v>10000</v>
      </c>
      <c r="F700" s="6">
        <v>10000</v>
      </c>
      <c r="G700" s="36">
        <v>0</v>
      </c>
      <c r="H700" s="34">
        <v>3900</v>
      </c>
      <c r="I700" s="7" t="s">
        <v>249</v>
      </c>
      <c r="J700" s="6">
        <v>0</v>
      </c>
      <c r="K700" s="6">
        <v>0</v>
      </c>
      <c r="L700" s="6">
        <v>0</v>
      </c>
      <c r="M700" s="37">
        <v>90</v>
      </c>
      <c r="N700" s="8" t="s">
        <v>247</v>
      </c>
      <c r="O700" s="29" t="s">
        <v>245</v>
      </c>
      <c r="P700" s="29" t="s">
        <v>245</v>
      </c>
      <c r="Q700" s="29" t="s">
        <v>245</v>
      </c>
      <c r="R700" s="30">
        <v>42835</v>
      </c>
      <c r="S700" s="31" t="s">
        <v>246</v>
      </c>
      <c r="T700" s="32">
        <v>2017</v>
      </c>
      <c r="U700" s="33">
        <v>42824</v>
      </c>
      <c r="V700" s="32"/>
    </row>
    <row r="701" spans="1:22" ht="19.5" customHeight="1" x14ac:dyDescent="0.3">
      <c r="A701" s="34">
        <v>2017</v>
      </c>
      <c r="B701" s="35">
        <v>42736</v>
      </c>
      <c r="C701" s="34">
        <v>3000</v>
      </c>
      <c r="D701" s="7" t="s">
        <v>250</v>
      </c>
      <c r="E701" s="6">
        <v>1022880</v>
      </c>
      <c r="F701" s="6">
        <v>1022880</v>
      </c>
      <c r="G701" s="36">
        <v>0</v>
      </c>
      <c r="H701" s="34">
        <v>3900</v>
      </c>
      <c r="I701" s="7" t="s">
        <v>250</v>
      </c>
      <c r="J701" s="6">
        <v>0</v>
      </c>
      <c r="K701" s="6">
        <v>0</v>
      </c>
      <c r="L701" s="6">
        <v>0</v>
      </c>
      <c r="M701" s="28">
        <v>91</v>
      </c>
      <c r="N701" s="8" t="s">
        <v>247</v>
      </c>
      <c r="O701" s="29" t="s">
        <v>245</v>
      </c>
      <c r="P701" s="29" t="s">
        <v>245</v>
      </c>
      <c r="Q701" s="29" t="s">
        <v>245</v>
      </c>
      <c r="R701" s="30">
        <v>42835</v>
      </c>
      <c r="S701" s="31" t="s">
        <v>246</v>
      </c>
      <c r="T701" s="32">
        <v>2017</v>
      </c>
      <c r="U701" s="33">
        <v>42824</v>
      </c>
      <c r="V701" s="32"/>
    </row>
    <row r="702" spans="1:22" ht="19.5" customHeight="1" x14ac:dyDescent="0.3">
      <c r="A702" s="34">
        <v>2017</v>
      </c>
      <c r="B702" s="35">
        <v>42736</v>
      </c>
      <c r="C702" s="34">
        <v>4000</v>
      </c>
      <c r="D702" s="12" t="s">
        <v>191</v>
      </c>
      <c r="E702" s="6">
        <v>800000</v>
      </c>
      <c r="F702" s="6">
        <v>800000</v>
      </c>
      <c r="G702" s="6">
        <v>0</v>
      </c>
      <c r="H702" s="34">
        <v>4400</v>
      </c>
      <c r="I702" s="12" t="s">
        <v>191</v>
      </c>
      <c r="J702" s="6">
        <v>0</v>
      </c>
      <c r="K702" s="6">
        <v>0</v>
      </c>
      <c r="L702" s="6">
        <v>0</v>
      </c>
      <c r="M702" s="37">
        <v>92</v>
      </c>
      <c r="N702" s="7" t="s">
        <v>251</v>
      </c>
      <c r="O702" s="29" t="s">
        <v>245</v>
      </c>
      <c r="P702" s="29" t="s">
        <v>245</v>
      </c>
      <c r="Q702" s="29" t="s">
        <v>245</v>
      </c>
      <c r="R702" s="30">
        <v>42835</v>
      </c>
      <c r="S702" s="31" t="s">
        <v>246</v>
      </c>
      <c r="T702" s="32">
        <v>2017</v>
      </c>
      <c r="U702" s="33">
        <v>42824</v>
      </c>
      <c r="V702" s="32"/>
    </row>
    <row r="703" spans="1:22" ht="19.5" customHeight="1" x14ac:dyDescent="0.3">
      <c r="A703" s="34">
        <v>2017</v>
      </c>
      <c r="B703" s="35">
        <v>42736</v>
      </c>
      <c r="C703" s="34">
        <v>4000</v>
      </c>
      <c r="D703" s="12" t="s">
        <v>192</v>
      </c>
      <c r="E703" s="6">
        <v>34643906.5</v>
      </c>
      <c r="F703" s="6">
        <f>34643906.5+5315701.85</f>
        <v>39959608.350000001</v>
      </c>
      <c r="G703" s="6">
        <v>0</v>
      </c>
      <c r="H703" s="34">
        <v>4400</v>
      </c>
      <c r="I703" s="12" t="s">
        <v>192</v>
      </c>
      <c r="J703" s="6">
        <v>0</v>
      </c>
      <c r="K703" s="6">
        <v>0</v>
      </c>
      <c r="L703" s="6">
        <v>0</v>
      </c>
      <c r="M703" s="28">
        <v>93</v>
      </c>
      <c r="N703" s="7" t="s">
        <v>251</v>
      </c>
      <c r="O703" s="29" t="s">
        <v>245</v>
      </c>
      <c r="P703" s="29" t="s">
        <v>245</v>
      </c>
      <c r="Q703" s="29" t="s">
        <v>245</v>
      </c>
      <c r="R703" s="30">
        <v>42835</v>
      </c>
      <c r="S703" s="31" t="s">
        <v>246</v>
      </c>
      <c r="T703" s="32">
        <v>2017</v>
      </c>
      <c r="U703" s="33">
        <v>42824</v>
      </c>
      <c r="V703" s="32"/>
    </row>
    <row r="704" spans="1:22" ht="19.5" customHeight="1" x14ac:dyDescent="0.3">
      <c r="A704" s="34">
        <v>2017</v>
      </c>
      <c r="B704" s="35">
        <v>42736</v>
      </c>
      <c r="C704" s="34">
        <v>4000</v>
      </c>
      <c r="D704" s="12" t="s">
        <v>193</v>
      </c>
      <c r="E704" s="6">
        <v>1746032</v>
      </c>
      <c r="F704" s="6">
        <v>1746032</v>
      </c>
      <c r="G704" s="6">
        <v>350000</v>
      </c>
      <c r="H704" s="34">
        <v>4400</v>
      </c>
      <c r="I704" s="12" t="s">
        <v>193</v>
      </c>
      <c r="J704" s="6">
        <v>0</v>
      </c>
      <c r="K704" s="6">
        <v>0</v>
      </c>
      <c r="L704" s="6">
        <v>0</v>
      </c>
      <c r="M704" s="37">
        <v>94</v>
      </c>
      <c r="N704" s="7" t="s">
        <v>251</v>
      </c>
      <c r="O704" s="29" t="s">
        <v>245</v>
      </c>
      <c r="P704" s="29" t="s">
        <v>245</v>
      </c>
      <c r="Q704" s="29" t="s">
        <v>245</v>
      </c>
      <c r="R704" s="30">
        <v>42835</v>
      </c>
      <c r="S704" s="31" t="s">
        <v>246</v>
      </c>
      <c r="T704" s="32">
        <v>2017</v>
      </c>
      <c r="U704" s="33">
        <v>42824</v>
      </c>
      <c r="V704" s="32"/>
    </row>
    <row r="705" spans="1:22" ht="19.5" customHeight="1" x14ac:dyDescent="0.3">
      <c r="A705" s="34">
        <v>2017</v>
      </c>
      <c r="B705" s="35">
        <v>42736</v>
      </c>
      <c r="C705" s="34">
        <v>5000</v>
      </c>
      <c r="D705" s="12" t="s">
        <v>194</v>
      </c>
      <c r="E705" s="6">
        <v>2723743</v>
      </c>
      <c r="F705" s="6">
        <v>2723743</v>
      </c>
      <c r="G705" s="6">
        <v>0</v>
      </c>
      <c r="H705" s="34">
        <v>5100</v>
      </c>
      <c r="I705" s="12" t="s">
        <v>194</v>
      </c>
      <c r="J705" s="6">
        <v>0</v>
      </c>
      <c r="K705" s="6">
        <v>0</v>
      </c>
      <c r="L705" s="6">
        <v>0</v>
      </c>
      <c r="M705" s="28">
        <v>95</v>
      </c>
      <c r="N705" s="8" t="s">
        <v>247</v>
      </c>
      <c r="O705" s="29" t="s">
        <v>245</v>
      </c>
      <c r="P705" s="29" t="s">
        <v>245</v>
      </c>
      <c r="Q705" s="29" t="s">
        <v>245</v>
      </c>
      <c r="R705" s="30">
        <v>42835</v>
      </c>
      <c r="S705" s="31" t="s">
        <v>246</v>
      </c>
      <c r="T705" s="32">
        <v>2017</v>
      </c>
      <c r="U705" s="33">
        <v>42824</v>
      </c>
      <c r="V705" s="32"/>
    </row>
    <row r="706" spans="1:22" ht="19.5" customHeight="1" x14ac:dyDescent="0.3">
      <c r="A706" s="34">
        <v>2017</v>
      </c>
      <c r="B706" s="35">
        <v>42736</v>
      </c>
      <c r="C706" s="34">
        <v>5000</v>
      </c>
      <c r="D706" s="12" t="s">
        <v>196</v>
      </c>
      <c r="E706" s="6">
        <v>1316958</v>
      </c>
      <c r="F706" s="6">
        <v>1316958</v>
      </c>
      <c r="G706" s="6">
        <v>0</v>
      </c>
      <c r="H706" s="34">
        <v>5100</v>
      </c>
      <c r="I706" s="12" t="s">
        <v>196</v>
      </c>
      <c r="J706" s="6">
        <v>0</v>
      </c>
      <c r="K706" s="6">
        <v>0</v>
      </c>
      <c r="L706" s="6">
        <v>0</v>
      </c>
      <c r="M706" s="37">
        <v>96</v>
      </c>
      <c r="N706" s="8" t="s">
        <v>247</v>
      </c>
      <c r="O706" s="29" t="s">
        <v>245</v>
      </c>
      <c r="P706" s="29" t="s">
        <v>245</v>
      </c>
      <c r="Q706" s="29" t="s">
        <v>245</v>
      </c>
      <c r="R706" s="30">
        <v>42835</v>
      </c>
      <c r="S706" s="31" t="s">
        <v>246</v>
      </c>
      <c r="T706" s="32">
        <v>2017</v>
      </c>
      <c r="U706" s="33">
        <v>42824</v>
      </c>
      <c r="V706" s="32"/>
    </row>
    <row r="707" spans="1:22" ht="19.5" customHeight="1" x14ac:dyDescent="0.3">
      <c r="A707" s="34">
        <v>2017</v>
      </c>
      <c r="B707" s="35">
        <v>42736</v>
      </c>
      <c r="C707" s="34">
        <v>5000</v>
      </c>
      <c r="D707" s="12" t="s">
        <v>197</v>
      </c>
      <c r="E707" s="6">
        <v>233811.54</v>
      </c>
      <c r="F707" s="6">
        <v>233811.54</v>
      </c>
      <c r="G707" s="6">
        <v>0</v>
      </c>
      <c r="H707" s="34">
        <v>5100</v>
      </c>
      <c r="I707" s="12" t="s">
        <v>197</v>
      </c>
      <c r="J707" s="6">
        <v>0</v>
      </c>
      <c r="K707" s="6">
        <v>0</v>
      </c>
      <c r="L707" s="6">
        <v>0</v>
      </c>
      <c r="M707" s="28">
        <v>97</v>
      </c>
      <c r="N707" s="8" t="s">
        <v>247</v>
      </c>
      <c r="O707" s="29" t="s">
        <v>245</v>
      </c>
      <c r="P707" s="29" t="s">
        <v>245</v>
      </c>
      <c r="Q707" s="29" t="s">
        <v>245</v>
      </c>
      <c r="R707" s="30">
        <v>42835</v>
      </c>
      <c r="S707" s="31" t="s">
        <v>246</v>
      </c>
      <c r="T707" s="32">
        <v>2017</v>
      </c>
      <c r="U707" s="33">
        <v>42824</v>
      </c>
      <c r="V707" s="32"/>
    </row>
    <row r="708" spans="1:22" ht="19.5" customHeight="1" x14ac:dyDescent="0.3">
      <c r="A708" s="34">
        <v>2017</v>
      </c>
      <c r="B708" s="35">
        <v>42736</v>
      </c>
      <c r="C708" s="34">
        <v>5000</v>
      </c>
      <c r="D708" s="12" t="s">
        <v>198</v>
      </c>
      <c r="E708" s="6">
        <v>751092.99</v>
      </c>
      <c r="F708" s="6">
        <v>751092.99</v>
      </c>
      <c r="G708" s="6">
        <v>0</v>
      </c>
      <c r="H708" s="34">
        <v>5200</v>
      </c>
      <c r="I708" s="12" t="s">
        <v>198</v>
      </c>
      <c r="J708" s="6">
        <v>0</v>
      </c>
      <c r="K708" s="6">
        <v>0</v>
      </c>
      <c r="L708" s="6">
        <v>0</v>
      </c>
      <c r="M708" s="37">
        <v>98</v>
      </c>
      <c r="N708" s="8" t="s">
        <v>247</v>
      </c>
      <c r="O708" s="29" t="s">
        <v>245</v>
      </c>
      <c r="P708" s="29" t="s">
        <v>245</v>
      </c>
      <c r="Q708" s="29" t="s">
        <v>245</v>
      </c>
      <c r="R708" s="30">
        <v>42835</v>
      </c>
      <c r="S708" s="31" t="s">
        <v>246</v>
      </c>
      <c r="T708" s="32">
        <v>2017</v>
      </c>
      <c r="U708" s="33">
        <v>42824</v>
      </c>
      <c r="V708" s="32"/>
    </row>
    <row r="709" spans="1:22" ht="19.5" customHeight="1" x14ac:dyDescent="0.3">
      <c r="A709" s="34">
        <v>2017</v>
      </c>
      <c r="B709" s="35">
        <v>42736</v>
      </c>
      <c r="C709" s="34">
        <v>5000</v>
      </c>
      <c r="D709" s="12" t="s">
        <v>199</v>
      </c>
      <c r="E709" s="6">
        <v>540687.1</v>
      </c>
      <c r="F709" s="6">
        <v>540687.1</v>
      </c>
      <c r="G709" s="6">
        <v>0</v>
      </c>
      <c r="H709" s="34">
        <v>5200</v>
      </c>
      <c r="I709" s="12" t="s">
        <v>199</v>
      </c>
      <c r="J709" s="6">
        <v>0</v>
      </c>
      <c r="K709" s="6">
        <v>0</v>
      </c>
      <c r="L709" s="6">
        <v>0</v>
      </c>
      <c r="M709" s="28">
        <v>99</v>
      </c>
      <c r="N709" s="8" t="s">
        <v>247</v>
      </c>
      <c r="O709" s="29" t="s">
        <v>245</v>
      </c>
      <c r="P709" s="29" t="s">
        <v>245</v>
      </c>
      <c r="Q709" s="29" t="s">
        <v>245</v>
      </c>
      <c r="R709" s="30">
        <v>42835</v>
      </c>
      <c r="S709" s="31" t="s">
        <v>246</v>
      </c>
      <c r="T709" s="32">
        <v>2017</v>
      </c>
      <c r="U709" s="33">
        <v>42824</v>
      </c>
      <c r="V709" s="32"/>
    </row>
    <row r="710" spans="1:22" ht="19.5" customHeight="1" x14ac:dyDescent="0.3">
      <c r="A710" s="34">
        <v>2017</v>
      </c>
      <c r="B710" s="35">
        <v>42736</v>
      </c>
      <c r="C710" s="34">
        <v>5000</v>
      </c>
      <c r="D710" s="12" t="s">
        <v>200</v>
      </c>
      <c r="E710" s="6">
        <v>214800</v>
      </c>
      <c r="F710" s="6">
        <v>214800</v>
      </c>
      <c r="G710" s="6">
        <v>0</v>
      </c>
      <c r="H710" s="34">
        <v>5200</v>
      </c>
      <c r="I710" s="12" t="s">
        <v>200</v>
      </c>
      <c r="J710" s="6">
        <v>0</v>
      </c>
      <c r="K710" s="6">
        <v>0</v>
      </c>
      <c r="L710" s="6">
        <v>0</v>
      </c>
      <c r="M710" s="37">
        <v>100</v>
      </c>
      <c r="N710" s="8" t="s">
        <v>247</v>
      </c>
      <c r="O710" s="29" t="s">
        <v>245</v>
      </c>
      <c r="P710" s="29" t="s">
        <v>245</v>
      </c>
      <c r="Q710" s="29" t="s">
        <v>245</v>
      </c>
      <c r="R710" s="30">
        <v>42835</v>
      </c>
      <c r="S710" s="31" t="s">
        <v>246</v>
      </c>
      <c r="T710" s="32">
        <v>2017</v>
      </c>
      <c r="U710" s="33">
        <v>42824</v>
      </c>
      <c r="V710" s="32"/>
    </row>
    <row r="711" spans="1:22" ht="19.5" customHeight="1" x14ac:dyDescent="0.3">
      <c r="A711" s="34">
        <v>2017</v>
      </c>
      <c r="B711" s="35">
        <v>42736</v>
      </c>
      <c r="C711" s="34">
        <v>5000</v>
      </c>
      <c r="D711" s="12" t="s">
        <v>201</v>
      </c>
      <c r="E711" s="6">
        <v>514000</v>
      </c>
      <c r="F711" s="6">
        <v>514000</v>
      </c>
      <c r="G711" s="6">
        <v>0</v>
      </c>
      <c r="H711" s="34">
        <v>5300</v>
      </c>
      <c r="I711" s="12" t="s">
        <v>201</v>
      </c>
      <c r="J711" s="6">
        <v>0</v>
      </c>
      <c r="K711" s="6">
        <v>0</v>
      </c>
      <c r="L711" s="6">
        <v>0</v>
      </c>
      <c r="M711" s="28">
        <v>101</v>
      </c>
      <c r="N711" s="8" t="s">
        <v>247</v>
      </c>
      <c r="O711" s="29" t="s">
        <v>245</v>
      </c>
      <c r="P711" s="29" t="s">
        <v>245</v>
      </c>
      <c r="Q711" s="29" t="s">
        <v>245</v>
      </c>
      <c r="R711" s="30">
        <v>42835</v>
      </c>
      <c r="S711" s="31" t="s">
        <v>246</v>
      </c>
      <c r="T711" s="32">
        <v>2017</v>
      </c>
      <c r="U711" s="33">
        <v>42824</v>
      </c>
      <c r="V711" s="32"/>
    </row>
    <row r="712" spans="1:22" ht="19.5" customHeight="1" x14ac:dyDescent="0.3">
      <c r="A712" s="34">
        <v>2017</v>
      </c>
      <c r="B712" s="35">
        <v>42736</v>
      </c>
      <c r="C712" s="34">
        <v>5000</v>
      </c>
      <c r="D712" s="7" t="s">
        <v>225</v>
      </c>
      <c r="E712" s="6">
        <v>603300</v>
      </c>
      <c r="F712" s="6">
        <v>603300</v>
      </c>
      <c r="G712" s="6">
        <v>0</v>
      </c>
      <c r="H712" s="34">
        <v>5400</v>
      </c>
      <c r="I712" s="7" t="s">
        <v>225</v>
      </c>
      <c r="J712" s="6">
        <v>0</v>
      </c>
      <c r="K712" s="6">
        <v>0</v>
      </c>
      <c r="L712" s="6">
        <v>0</v>
      </c>
      <c r="M712" s="37">
        <v>102</v>
      </c>
      <c r="N712" s="8" t="s">
        <v>247</v>
      </c>
      <c r="O712" s="29" t="s">
        <v>245</v>
      </c>
      <c r="P712" s="29" t="s">
        <v>245</v>
      </c>
      <c r="Q712" s="29" t="s">
        <v>245</v>
      </c>
      <c r="R712" s="30">
        <v>42835</v>
      </c>
      <c r="S712" s="31" t="s">
        <v>246</v>
      </c>
      <c r="T712" s="32">
        <v>2017</v>
      </c>
      <c r="U712" s="33">
        <v>42824</v>
      </c>
      <c r="V712" s="32"/>
    </row>
    <row r="713" spans="1:22" ht="19.5" customHeight="1" x14ac:dyDescent="0.3">
      <c r="A713" s="34">
        <v>2017</v>
      </c>
      <c r="B713" s="35">
        <v>42736</v>
      </c>
      <c r="C713" s="34">
        <v>5000</v>
      </c>
      <c r="D713" s="7" t="s">
        <v>204</v>
      </c>
      <c r="E713" s="6">
        <f>125000+24000</f>
        <v>149000</v>
      </c>
      <c r="F713" s="6">
        <v>149000</v>
      </c>
      <c r="G713" s="6">
        <v>0</v>
      </c>
      <c r="H713" s="34">
        <v>5600</v>
      </c>
      <c r="I713" s="7" t="s">
        <v>204</v>
      </c>
      <c r="J713" s="6">
        <v>0</v>
      </c>
      <c r="K713" s="6">
        <v>0</v>
      </c>
      <c r="L713" s="6">
        <v>0</v>
      </c>
      <c r="M713" s="28">
        <v>103</v>
      </c>
      <c r="N713" s="8" t="s">
        <v>247</v>
      </c>
      <c r="O713" s="29" t="s">
        <v>245</v>
      </c>
      <c r="P713" s="29" t="s">
        <v>245</v>
      </c>
      <c r="Q713" s="29" t="s">
        <v>245</v>
      </c>
      <c r="R713" s="30">
        <v>42835</v>
      </c>
      <c r="S713" s="31" t="s">
        <v>246</v>
      </c>
      <c r="T713" s="32">
        <v>2017</v>
      </c>
      <c r="U713" s="33">
        <v>42824</v>
      </c>
      <c r="V713" s="32"/>
    </row>
    <row r="714" spans="1:22" ht="19.5" customHeight="1" x14ac:dyDescent="0.3">
      <c r="A714" s="34">
        <v>2017</v>
      </c>
      <c r="B714" s="35">
        <v>42736</v>
      </c>
      <c r="C714" s="34">
        <v>5000</v>
      </c>
      <c r="D714" s="7" t="s">
        <v>205</v>
      </c>
      <c r="E714" s="6">
        <v>80000</v>
      </c>
      <c r="F714" s="6">
        <v>80000</v>
      </c>
      <c r="G714" s="6">
        <v>0</v>
      </c>
      <c r="H714" s="34">
        <v>5600</v>
      </c>
      <c r="I714" s="7" t="s">
        <v>205</v>
      </c>
      <c r="J714" s="6">
        <v>0</v>
      </c>
      <c r="K714" s="6">
        <v>0</v>
      </c>
      <c r="L714" s="6">
        <v>0</v>
      </c>
      <c r="M714" s="37">
        <v>104</v>
      </c>
      <c r="N714" s="8" t="s">
        <v>247</v>
      </c>
      <c r="O714" s="29" t="s">
        <v>245</v>
      </c>
      <c r="P714" s="29" t="s">
        <v>245</v>
      </c>
      <c r="Q714" s="29" t="s">
        <v>245</v>
      </c>
      <c r="R714" s="30">
        <v>42835</v>
      </c>
      <c r="S714" s="31" t="s">
        <v>246</v>
      </c>
      <c r="T714" s="32">
        <v>2017</v>
      </c>
      <c r="U714" s="33">
        <v>42824</v>
      </c>
      <c r="V714" s="32"/>
    </row>
    <row r="715" spans="1:22" ht="19.5" customHeight="1" x14ac:dyDescent="0.3">
      <c r="A715" s="34">
        <v>2017</v>
      </c>
      <c r="B715" s="35">
        <v>42736</v>
      </c>
      <c r="C715" s="34">
        <v>5000</v>
      </c>
      <c r="D715" s="7" t="s">
        <v>206</v>
      </c>
      <c r="E715" s="6">
        <v>20000</v>
      </c>
      <c r="F715" s="6">
        <v>20000</v>
      </c>
      <c r="G715" s="6">
        <v>0</v>
      </c>
      <c r="H715" s="34">
        <v>5600</v>
      </c>
      <c r="I715" s="7" t="s">
        <v>206</v>
      </c>
      <c r="J715" s="6">
        <v>0</v>
      </c>
      <c r="K715" s="6">
        <v>0</v>
      </c>
      <c r="L715" s="6">
        <v>0</v>
      </c>
      <c r="M715" s="28">
        <v>105</v>
      </c>
      <c r="N715" s="8" t="s">
        <v>247</v>
      </c>
      <c r="O715" s="29" t="s">
        <v>245</v>
      </c>
      <c r="P715" s="29" t="s">
        <v>245</v>
      </c>
      <c r="Q715" s="29" t="s">
        <v>245</v>
      </c>
      <c r="R715" s="30">
        <v>42835</v>
      </c>
      <c r="S715" s="31" t="s">
        <v>246</v>
      </c>
      <c r="T715" s="32">
        <v>2017</v>
      </c>
      <c r="U715" s="33">
        <v>42824</v>
      </c>
      <c r="V715" s="32"/>
    </row>
    <row r="716" spans="1:22" ht="19.5" customHeight="1" x14ac:dyDescent="0.3">
      <c r="A716" s="34">
        <v>2017</v>
      </c>
      <c r="B716" s="35">
        <v>42736</v>
      </c>
      <c r="C716" s="34">
        <v>5000</v>
      </c>
      <c r="D716" s="7" t="s">
        <v>207</v>
      </c>
      <c r="E716" s="6">
        <v>28453.41</v>
      </c>
      <c r="F716" s="6">
        <v>28453.41</v>
      </c>
      <c r="G716" s="6">
        <v>0</v>
      </c>
      <c r="H716" s="34">
        <v>5600</v>
      </c>
      <c r="I716" s="7" t="s">
        <v>207</v>
      </c>
      <c r="J716" s="6">
        <v>0</v>
      </c>
      <c r="K716" s="6">
        <v>0</v>
      </c>
      <c r="L716" s="6">
        <v>0</v>
      </c>
      <c r="M716" s="37">
        <v>106</v>
      </c>
      <c r="N716" s="8" t="s">
        <v>247</v>
      </c>
      <c r="O716" s="29" t="s">
        <v>245</v>
      </c>
      <c r="P716" s="29" t="s">
        <v>245</v>
      </c>
      <c r="Q716" s="29" t="s">
        <v>245</v>
      </c>
      <c r="R716" s="30">
        <v>42835</v>
      </c>
      <c r="S716" s="31" t="s">
        <v>246</v>
      </c>
      <c r="T716" s="32">
        <v>2017</v>
      </c>
      <c r="U716" s="33">
        <v>42824</v>
      </c>
      <c r="V716" s="32"/>
    </row>
    <row r="717" spans="1:22" ht="19.5" customHeight="1" x14ac:dyDescent="0.3">
      <c r="A717" s="34">
        <v>2017</v>
      </c>
      <c r="B717" s="35">
        <v>42736</v>
      </c>
      <c r="C717" s="34">
        <v>5000</v>
      </c>
      <c r="D717" s="7" t="s">
        <v>209</v>
      </c>
      <c r="E717" s="6">
        <v>15000</v>
      </c>
      <c r="F717" s="6">
        <v>15000</v>
      </c>
      <c r="G717" s="6">
        <v>0</v>
      </c>
      <c r="H717" s="34">
        <v>5600</v>
      </c>
      <c r="I717" s="7" t="s">
        <v>209</v>
      </c>
      <c r="J717" s="6">
        <v>0</v>
      </c>
      <c r="K717" s="6">
        <v>0</v>
      </c>
      <c r="L717" s="6">
        <v>0</v>
      </c>
      <c r="M717" s="28">
        <v>107</v>
      </c>
      <c r="N717" s="8" t="s">
        <v>247</v>
      </c>
      <c r="O717" s="29" t="s">
        <v>245</v>
      </c>
      <c r="P717" s="29" t="s">
        <v>245</v>
      </c>
      <c r="Q717" s="29" t="s">
        <v>245</v>
      </c>
      <c r="R717" s="30">
        <v>42835</v>
      </c>
      <c r="S717" s="31" t="s">
        <v>246</v>
      </c>
      <c r="T717" s="32">
        <v>2017</v>
      </c>
      <c r="U717" s="33">
        <v>42824</v>
      </c>
      <c r="V717" s="32"/>
    </row>
    <row r="718" spans="1:22" ht="19.5" customHeight="1" x14ac:dyDescent="0.3">
      <c r="A718" s="34">
        <v>2017</v>
      </c>
      <c r="B718" s="35">
        <v>42736</v>
      </c>
      <c r="C718" s="34">
        <v>5000</v>
      </c>
      <c r="D718" s="7" t="s">
        <v>212</v>
      </c>
      <c r="E718" s="6">
        <v>96288</v>
      </c>
      <c r="F718" s="6">
        <v>96288</v>
      </c>
      <c r="G718" s="6">
        <v>0</v>
      </c>
      <c r="H718" s="34">
        <v>5900</v>
      </c>
      <c r="I718" s="7" t="s">
        <v>212</v>
      </c>
      <c r="J718" s="6">
        <v>0</v>
      </c>
      <c r="K718" s="6">
        <v>0</v>
      </c>
      <c r="L718" s="6">
        <v>0</v>
      </c>
      <c r="M718" s="37">
        <v>108</v>
      </c>
      <c r="N718" s="8" t="s">
        <v>247</v>
      </c>
      <c r="O718" s="29" t="s">
        <v>245</v>
      </c>
      <c r="P718" s="29" t="s">
        <v>245</v>
      </c>
      <c r="Q718" s="29" t="s">
        <v>245</v>
      </c>
      <c r="R718" s="30">
        <v>42835</v>
      </c>
      <c r="S718" s="31" t="s">
        <v>246</v>
      </c>
      <c r="T718" s="32">
        <v>2017</v>
      </c>
      <c r="U718" s="33">
        <v>42824</v>
      </c>
      <c r="V718" s="32"/>
    </row>
    <row r="719" spans="1:22" ht="19.5" customHeight="1" x14ac:dyDescent="0.3">
      <c r="A719" s="34">
        <v>2017</v>
      </c>
      <c r="B719" s="35">
        <v>42736</v>
      </c>
      <c r="C719" s="34">
        <v>5000</v>
      </c>
      <c r="D719" s="7" t="s">
        <v>213</v>
      </c>
      <c r="E719" s="6">
        <v>24000</v>
      </c>
      <c r="F719" s="6">
        <v>24000</v>
      </c>
      <c r="G719" s="6">
        <v>0</v>
      </c>
      <c r="H719" s="34">
        <v>5900</v>
      </c>
      <c r="I719" s="7" t="s">
        <v>213</v>
      </c>
      <c r="J719" s="6">
        <v>0</v>
      </c>
      <c r="K719" s="6">
        <v>0</v>
      </c>
      <c r="L719" s="6">
        <v>0</v>
      </c>
      <c r="M719" s="28">
        <v>109</v>
      </c>
      <c r="N719" s="8" t="s">
        <v>247</v>
      </c>
      <c r="O719" s="29" t="s">
        <v>245</v>
      </c>
      <c r="P719" s="29" t="s">
        <v>245</v>
      </c>
      <c r="Q719" s="29" t="s">
        <v>245</v>
      </c>
      <c r="R719" s="30">
        <v>42835</v>
      </c>
      <c r="S719" s="31" t="s">
        <v>246</v>
      </c>
      <c r="T719" s="32">
        <v>2017</v>
      </c>
      <c r="U719" s="33">
        <v>42824</v>
      </c>
      <c r="V719" s="32"/>
    </row>
    <row r="720" spans="1:22" ht="19.5" customHeight="1" x14ac:dyDescent="0.3">
      <c r="A720" s="34">
        <v>2017</v>
      </c>
      <c r="B720" s="35">
        <v>42736</v>
      </c>
      <c r="C720" s="34">
        <v>6000</v>
      </c>
      <c r="D720" s="7" t="s">
        <v>214</v>
      </c>
      <c r="E720" s="6">
        <v>3250000</v>
      </c>
      <c r="F720" s="6">
        <v>3250000</v>
      </c>
      <c r="G720" s="6">
        <v>0</v>
      </c>
      <c r="H720" s="34">
        <v>6200</v>
      </c>
      <c r="I720" s="7" t="s">
        <v>214</v>
      </c>
      <c r="J720" s="6">
        <v>0</v>
      </c>
      <c r="K720" s="6">
        <v>0</v>
      </c>
      <c r="L720" s="6">
        <v>0</v>
      </c>
      <c r="M720" s="37">
        <v>110</v>
      </c>
      <c r="N720" s="8" t="s">
        <v>247</v>
      </c>
      <c r="O720" s="29" t="s">
        <v>245</v>
      </c>
      <c r="P720" s="29" t="s">
        <v>245</v>
      </c>
      <c r="Q720" s="29" t="s">
        <v>245</v>
      </c>
      <c r="R720" s="30">
        <v>42835</v>
      </c>
      <c r="S720" s="31" t="s">
        <v>246</v>
      </c>
      <c r="T720" s="32">
        <v>2017</v>
      </c>
      <c r="U720" s="33">
        <v>42824</v>
      </c>
      <c r="V720" s="32"/>
    </row>
    <row r="721" spans="1:22" ht="19.5" customHeight="1" x14ac:dyDescent="0.3">
      <c r="A721" s="34">
        <v>2017</v>
      </c>
      <c r="B721" s="35">
        <v>42736</v>
      </c>
      <c r="C721" s="34">
        <v>7000</v>
      </c>
      <c r="D721" s="7" t="s">
        <v>252</v>
      </c>
      <c r="E721" s="6">
        <v>6125483</v>
      </c>
      <c r="F721" s="6">
        <v>6125483</v>
      </c>
      <c r="G721" s="6">
        <v>0</v>
      </c>
      <c r="H721" s="34">
        <v>7900</v>
      </c>
      <c r="I721" s="7" t="s">
        <v>252</v>
      </c>
      <c r="J721" s="6">
        <v>0</v>
      </c>
      <c r="K721" s="6">
        <v>0</v>
      </c>
      <c r="L721" s="6">
        <v>0</v>
      </c>
      <c r="M721" s="28">
        <v>111</v>
      </c>
      <c r="N721" s="8" t="s">
        <v>247</v>
      </c>
      <c r="O721" s="29" t="s">
        <v>245</v>
      </c>
      <c r="P721" s="29" t="s">
        <v>245</v>
      </c>
      <c r="Q721" s="29" t="s">
        <v>245</v>
      </c>
      <c r="R721" s="30">
        <v>42835</v>
      </c>
      <c r="S721" s="31" t="s">
        <v>246</v>
      </c>
      <c r="T721" s="32">
        <v>2017</v>
      </c>
      <c r="U721" s="33">
        <v>42824</v>
      </c>
      <c r="V721" s="32"/>
    </row>
    <row r="722" spans="1:22" ht="19.5" customHeight="1" x14ac:dyDescent="0.3">
      <c r="A722" s="34">
        <v>2017</v>
      </c>
      <c r="B722" s="35">
        <v>42826</v>
      </c>
      <c r="C722" s="34">
        <v>1000</v>
      </c>
      <c r="D722" s="7" t="s">
        <v>72</v>
      </c>
      <c r="E722" s="6">
        <v>307975833</v>
      </c>
      <c r="F722" s="6">
        <v>304888954.20999998</v>
      </c>
      <c r="G722" s="38">
        <v>192436175.58000001</v>
      </c>
      <c r="H722" s="34">
        <v>1100</v>
      </c>
      <c r="I722" s="7" t="s">
        <v>72</v>
      </c>
      <c r="J722" s="6">
        <v>165934759.68000001</v>
      </c>
      <c r="K722" s="6">
        <v>165934759.68000001</v>
      </c>
      <c r="L722" s="6">
        <v>165934759.68000001</v>
      </c>
      <c r="M722" s="37">
        <v>112</v>
      </c>
      <c r="N722" s="5" t="s">
        <v>253</v>
      </c>
      <c r="O722" s="29" t="s">
        <v>245</v>
      </c>
      <c r="P722" s="29" t="s">
        <v>245</v>
      </c>
      <c r="Q722" s="29" t="s">
        <v>245</v>
      </c>
      <c r="R722" s="30">
        <v>42835</v>
      </c>
      <c r="S722" s="31" t="s">
        <v>246</v>
      </c>
      <c r="T722" s="32">
        <v>2017</v>
      </c>
      <c r="U722" s="33">
        <v>42824</v>
      </c>
      <c r="V722" s="32"/>
    </row>
    <row r="723" spans="1:22" ht="19.5" customHeight="1" x14ac:dyDescent="0.3">
      <c r="A723" s="34">
        <v>2017</v>
      </c>
      <c r="B723" s="35">
        <v>42826</v>
      </c>
      <c r="C723" s="34">
        <v>1000</v>
      </c>
      <c r="D723" s="7" t="s">
        <v>73</v>
      </c>
      <c r="E723" s="6">
        <v>10086250.17</v>
      </c>
      <c r="F723" s="6">
        <v>10086250.17</v>
      </c>
      <c r="G723" s="38">
        <v>5428798.5</v>
      </c>
      <c r="H723" s="34">
        <v>1200</v>
      </c>
      <c r="I723" s="7" t="s">
        <v>73</v>
      </c>
      <c r="J723" s="6">
        <v>4639103.0199999996</v>
      </c>
      <c r="K723" s="6">
        <v>4639103.0199999996</v>
      </c>
      <c r="L723" s="6">
        <v>4639103.0199999996</v>
      </c>
      <c r="M723" s="28">
        <v>113</v>
      </c>
      <c r="N723" s="5" t="s">
        <v>253</v>
      </c>
      <c r="O723" s="29" t="s">
        <v>245</v>
      </c>
      <c r="P723" s="29" t="s">
        <v>245</v>
      </c>
      <c r="Q723" s="29" t="s">
        <v>245</v>
      </c>
      <c r="R723" s="39">
        <v>42926</v>
      </c>
      <c r="S723" s="31" t="s">
        <v>246</v>
      </c>
      <c r="T723" s="32">
        <v>2017</v>
      </c>
      <c r="U723" s="40">
        <v>42916</v>
      </c>
      <c r="V723" s="32"/>
    </row>
    <row r="724" spans="1:22" ht="19.5" customHeight="1" x14ac:dyDescent="0.3">
      <c r="A724" s="34">
        <v>2017</v>
      </c>
      <c r="B724" s="35">
        <v>42826</v>
      </c>
      <c r="C724" s="34">
        <v>1000</v>
      </c>
      <c r="D724" s="8" t="s">
        <v>75</v>
      </c>
      <c r="E724" s="6">
        <v>26640470.120000001</v>
      </c>
      <c r="F724" s="6">
        <v>26640470.120000001</v>
      </c>
      <c r="G724" s="38">
        <v>14553818.250000002</v>
      </c>
      <c r="H724" s="34">
        <v>1300</v>
      </c>
      <c r="I724" s="8" t="s">
        <v>75</v>
      </c>
      <c r="J724" s="6">
        <v>14540941.48</v>
      </c>
      <c r="K724" s="6">
        <v>14540941.48</v>
      </c>
      <c r="L724" s="6">
        <v>14540941.48</v>
      </c>
      <c r="M724" s="37">
        <v>114</v>
      </c>
      <c r="N724" s="5" t="s">
        <v>253</v>
      </c>
      <c r="O724" s="29" t="s">
        <v>245</v>
      </c>
      <c r="P724" s="29" t="s">
        <v>245</v>
      </c>
      <c r="Q724" s="29" t="s">
        <v>245</v>
      </c>
      <c r="R724" s="39">
        <v>42926</v>
      </c>
      <c r="S724" s="31" t="s">
        <v>246</v>
      </c>
      <c r="T724" s="32">
        <v>2017</v>
      </c>
      <c r="U724" s="40">
        <v>42916</v>
      </c>
      <c r="V724" s="32"/>
    </row>
    <row r="725" spans="1:22" ht="19.5" customHeight="1" x14ac:dyDescent="0.3">
      <c r="A725" s="34">
        <v>2017</v>
      </c>
      <c r="B725" s="35">
        <v>42826</v>
      </c>
      <c r="C725" s="34">
        <v>1000</v>
      </c>
      <c r="D725" s="8" t="s">
        <v>76</v>
      </c>
      <c r="E725" s="6">
        <v>34219537.030000001</v>
      </c>
      <c r="F725" s="6">
        <v>34219537.030000001</v>
      </c>
      <c r="G725" s="38">
        <v>1003713.0199999999</v>
      </c>
      <c r="H725" s="34">
        <v>1300</v>
      </c>
      <c r="I725" s="8" t="s">
        <v>76</v>
      </c>
      <c r="J725" s="6">
        <v>1000629.8</v>
      </c>
      <c r="K725" s="6">
        <v>1000629.8</v>
      </c>
      <c r="L725" s="6">
        <v>1000629.8</v>
      </c>
      <c r="M725" s="28">
        <v>115</v>
      </c>
      <c r="N725" s="5" t="s">
        <v>253</v>
      </c>
      <c r="O725" s="29" t="s">
        <v>245</v>
      </c>
      <c r="P725" s="29" t="s">
        <v>245</v>
      </c>
      <c r="Q725" s="29" t="s">
        <v>245</v>
      </c>
      <c r="R725" s="39">
        <v>42926</v>
      </c>
      <c r="S725" s="31" t="s">
        <v>246</v>
      </c>
      <c r="T725" s="32">
        <v>2017</v>
      </c>
      <c r="U725" s="40">
        <v>42916</v>
      </c>
      <c r="V725" s="32"/>
    </row>
    <row r="726" spans="1:22" ht="19.5" customHeight="1" x14ac:dyDescent="0.3">
      <c r="A726" s="34">
        <v>2017</v>
      </c>
      <c r="B726" s="35">
        <v>42826</v>
      </c>
      <c r="C726" s="34">
        <v>1000</v>
      </c>
      <c r="D726" s="8" t="s">
        <v>77</v>
      </c>
      <c r="E726" s="6">
        <v>0</v>
      </c>
      <c r="F726" s="6">
        <v>872739.73</v>
      </c>
      <c r="G726" s="38">
        <v>1296598.4099999999</v>
      </c>
      <c r="H726" s="34">
        <v>1300</v>
      </c>
      <c r="I726" s="8" t="s">
        <v>77</v>
      </c>
      <c r="J726" s="6">
        <v>1195743.8500000001</v>
      </c>
      <c r="K726" s="6">
        <v>1195743.8500000001</v>
      </c>
      <c r="L726" s="6">
        <v>1195743.8500000001</v>
      </c>
      <c r="M726" s="37">
        <v>116</v>
      </c>
      <c r="N726" s="5" t="s">
        <v>253</v>
      </c>
      <c r="O726" s="29" t="s">
        <v>245</v>
      </c>
      <c r="P726" s="29" t="s">
        <v>245</v>
      </c>
      <c r="Q726" s="29" t="s">
        <v>245</v>
      </c>
      <c r="R726" s="39">
        <v>42926</v>
      </c>
      <c r="S726" s="31" t="s">
        <v>246</v>
      </c>
      <c r="T726" s="32">
        <v>2017</v>
      </c>
      <c r="U726" s="40">
        <v>42916</v>
      </c>
      <c r="V726" s="32"/>
    </row>
    <row r="727" spans="1:22" ht="19.5" customHeight="1" x14ac:dyDescent="0.3">
      <c r="A727" s="34">
        <v>2017</v>
      </c>
      <c r="B727" s="35">
        <v>42826</v>
      </c>
      <c r="C727" s="34">
        <v>1000</v>
      </c>
      <c r="D727" s="8" t="s">
        <v>78</v>
      </c>
      <c r="E727" s="6">
        <v>0</v>
      </c>
      <c r="F727" s="6">
        <v>72829.5</v>
      </c>
      <c r="G727" s="38">
        <v>72829.5</v>
      </c>
      <c r="H727" s="34">
        <v>1300</v>
      </c>
      <c r="I727" s="8" t="s">
        <v>78</v>
      </c>
      <c r="J727" s="6">
        <v>72829.5</v>
      </c>
      <c r="K727" s="6">
        <v>72829.5</v>
      </c>
      <c r="L727" s="6">
        <v>72829.5</v>
      </c>
      <c r="M727" s="28">
        <v>117</v>
      </c>
      <c r="N727" s="5" t="s">
        <v>253</v>
      </c>
      <c r="O727" s="29" t="s">
        <v>245</v>
      </c>
      <c r="P727" s="29" t="s">
        <v>245</v>
      </c>
      <c r="Q727" s="29" t="s">
        <v>245</v>
      </c>
      <c r="R727" s="39">
        <v>42926</v>
      </c>
      <c r="S727" s="31" t="s">
        <v>246</v>
      </c>
      <c r="T727" s="32">
        <v>2017</v>
      </c>
      <c r="U727" s="40">
        <v>42916</v>
      </c>
      <c r="V727" s="32"/>
    </row>
    <row r="728" spans="1:22" ht="19.5" customHeight="1" x14ac:dyDescent="0.3">
      <c r="A728" s="34">
        <v>2017</v>
      </c>
      <c r="B728" s="35">
        <v>42826</v>
      </c>
      <c r="C728" s="34">
        <v>1000</v>
      </c>
      <c r="D728" s="8" t="s">
        <v>79</v>
      </c>
      <c r="E728" s="6">
        <v>30705190.559999999</v>
      </c>
      <c r="F728" s="6">
        <v>30705190.559999999</v>
      </c>
      <c r="G728" s="38">
        <v>16553674.66</v>
      </c>
      <c r="H728" s="34">
        <v>1400</v>
      </c>
      <c r="I728" s="8" t="s">
        <v>79</v>
      </c>
      <c r="J728" s="6">
        <v>16553674.66</v>
      </c>
      <c r="K728" s="6">
        <v>16553674.66</v>
      </c>
      <c r="L728" s="6">
        <v>16553674.66</v>
      </c>
      <c r="M728" s="37">
        <v>118</v>
      </c>
      <c r="N728" s="5" t="s">
        <v>253</v>
      </c>
      <c r="O728" s="29" t="s">
        <v>245</v>
      </c>
      <c r="P728" s="29" t="s">
        <v>245</v>
      </c>
      <c r="Q728" s="29" t="s">
        <v>245</v>
      </c>
      <c r="R728" s="39">
        <v>42926</v>
      </c>
      <c r="S728" s="31" t="s">
        <v>246</v>
      </c>
      <c r="T728" s="32">
        <v>2017</v>
      </c>
      <c r="U728" s="40">
        <v>42916</v>
      </c>
      <c r="V728" s="32"/>
    </row>
    <row r="729" spans="1:22" ht="19.5" customHeight="1" x14ac:dyDescent="0.3">
      <c r="A729" s="34">
        <v>2017</v>
      </c>
      <c r="B729" s="35">
        <v>42826</v>
      </c>
      <c r="C729" s="34">
        <v>1000</v>
      </c>
      <c r="D729" s="8" t="s">
        <v>80</v>
      </c>
      <c r="E729" s="6">
        <v>15398791.65</v>
      </c>
      <c r="F729" s="6">
        <v>15398791.65</v>
      </c>
      <c r="G729" s="38">
        <v>8284586.9699999997</v>
      </c>
      <c r="H729" s="34">
        <v>1400</v>
      </c>
      <c r="I729" s="8" t="s">
        <v>80</v>
      </c>
      <c r="J729" s="6">
        <v>5523069.9900000002</v>
      </c>
      <c r="K729" s="6">
        <v>5523069.9900000002</v>
      </c>
      <c r="L729" s="6">
        <v>5523069.9900000002</v>
      </c>
      <c r="M729" s="28">
        <v>119</v>
      </c>
      <c r="N729" s="5" t="s">
        <v>253</v>
      </c>
      <c r="O729" s="29" t="s">
        <v>245</v>
      </c>
      <c r="P729" s="29" t="s">
        <v>245</v>
      </c>
      <c r="Q729" s="29" t="s">
        <v>245</v>
      </c>
      <c r="R729" s="39">
        <v>42926</v>
      </c>
      <c r="S729" s="31" t="s">
        <v>246</v>
      </c>
      <c r="T729" s="32">
        <v>2017</v>
      </c>
      <c r="U729" s="40">
        <v>42916</v>
      </c>
      <c r="V729" s="32"/>
    </row>
    <row r="730" spans="1:22" ht="19.5" customHeight="1" x14ac:dyDescent="0.3">
      <c r="A730" s="34">
        <v>2017</v>
      </c>
      <c r="B730" s="35">
        <v>42826</v>
      </c>
      <c r="C730" s="34">
        <v>1000</v>
      </c>
      <c r="D730" s="8" t="s">
        <v>81</v>
      </c>
      <c r="E730" s="6">
        <v>15937749.35</v>
      </c>
      <c r="F730" s="6">
        <v>15937749.35</v>
      </c>
      <c r="G730" s="38">
        <v>9552845.7599999998</v>
      </c>
      <c r="H730" s="34">
        <v>1400</v>
      </c>
      <c r="I730" s="8" t="s">
        <v>81</v>
      </c>
      <c r="J730" s="6">
        <v>6361229.8899999997</v>
      </c>
      <c r="K730" s="6">
        <v>6361229.8899999997</v>
      </c>
      <c r="L730" s="6">
        <v>6361229.8899999997</v>
      </c>
      <c r="M730" s="37">
        <v>120</v>
      </c>
      <c r="N730" s="5" t="s">
        <v>253</v>
      </c>
      <c r="O730" s="29" t="s">
        <v>245</v>
      </c>
      <c r="P730" s="29" t="s">
        <v>245</v>
      </c>
      <c r="Q730" s="29" t="s">
        <v>245</v>
      </c>
      <c r="R730" s="39">
        <v>42926</v>
      </c>
      <c r="S730" s="31" t="s">
        <v>246</v>
      </c>
      <c r="T730" s="32">
        <v>2017</v>
      </c>
      <c r="U730" s="40">
        <v>42916</v>
      </c>
      <c r="V730" s="32"/>
    </row>
    <row r="731" spans="1:22" ht="19.5" customHeight="1" x14ac:dyDescent="0.3">
      <c r="A731" s="34">
        <v>2017</v>
      </c>
      <c r="B731" s="35">
        <v>42826</v>
      </c>
      <c r="C731" s="34">
        <v>1000</v>
      </c>
      <c r="D731" s="8" t="s">
        <v>82</v>
      </c>
      <c r="E731" s="6">
        <v>13700813.199999999</v>
      </c>
      <c r="F731" s="6">
        <v>13700813.210000001</v>
      </c>
      <c r="G731" s="38">
        <v>7159742.1200000001</v>
      </c>
      <c r="H731" s="34">
        <v>1400</v>
      </c>
      <c r="I731" s="8" t="s">
        <v>82</v>
      </c>
      <c r="J731" s="6">
        <v>6155430.1799999997</v>
      </c>
      <c r="K731" s="6">
        <v>6155430.1799999997</v>
      </c>
      <c r="L731" s="6">
        <v>6155430.1799999997</v>
      </c>
      <c r="M731" s="28">
        <v>121</v>
      </c>
      <c r="N731" s="5" t="s">
        <v>253</v>
      </c>
      <c r="O731" s="29" t="s">
        <v>245</v>
      </c>
      <c r="P731" s="29" t="s">
        <v>245</v>
      </c>
      <c r="Q731" s="29" t="s">
        <v>245</v>
      </c>
      <c r="R731" s="39">
        <v>42926</v>
      </c>
      <c r="S731" s="31" t="s">
        <v>246</v>
      </c>
      <c r="T731" s="32">
        <v>2017</v>
      </c>
      <c r="U731" s="40">
        <v>42916</v>
      </c>
      <c r="V731" s="32"/>
    </row>
    <row r="732" spans="1:22" ht="19.5" customHeight="1" x14ac:dyDescent="0.3">
      <c r="A732" s="34">
        <v>2017</v>
      </c>
      <c r="B732" s="35">
        <v>42826</v>
      </c>
      <c r="C732" s="34">
        <v>1000</v>
      </c>
      <c r="D732" s="8" t="s">
        <v>83</v>
      </c>
      <c r="E732" s="6">
        <v>901623.8</v>
      </c>
      <c r="F732" s="6">
        <v>917182.54</v>
      </c>
      <c r="G732" s="38">
        <v>440208.9</v>
      </c>
      <c r="H732" s="34">
        <v>1400</v>
      </c>
      <c r="I732" s="8" t="s">
        <v>83</v>
      </c>
      <c r="J732" s="6">
        <v>440208.9</v>
      </c>
      <c r="K732" s="6">
        <v>440208.9</v>
      </c>
      <c r="L732" s="6">
        <v>440208.9</v>
      </c>
      <c r="M732" s="37">
        <v>122</v>
      </c>
      <c r="N732" s="5" t="s">
        <v>253</v>
      </c>
      <c r="O732" s="29" t="s">
        <v>245</v>
      </c>
      <c r="P732" s="29" t="s">
        <v>245</v>
      </c>
      <c r="Q732" s="29" t="s">
        <v>245</v>
      </c>
      <c r="R732" s="39">
        <v>42926</v>
      </c>
      <c r="S732" s="31" t="s">
        <v>246</v>
      </c>
      <c r="T732" s="32">
        <v>2017</v>
      </c>
      <c r="U732" s="40">
        <v>42916</v>
      </c>
      <c r="V732" s="32"/>
    </row>
    <row r="733" spans="1:22" ht="19.5" customHeight="1" x14ac:dyDescent="0.3">
      <c r="A733" s="34">
        <v>2017</v>
      </c>
      <c r="B733" s="35">
        <v>42826</v>
      </c>
      <c r="C733" s="34">
        <v>1000</v>
      </c>
      <c r="D733" s="8" t="s">
        <v>254</v>
      </c>
      <c r="E733" s="6">
        <v>0</v>
      </c>
      <c r="F733" s="6">
        <v>10500000</v>
      </c>
      <c r="G733" s="38">
        <v>10167000</v>
      </c>
      <c r="H733" s="34">
        <v>1400</v>
      </c>
      <c r="I733" s="8" t="s">
        <v>254</v>
      </c>
      <c r="J733" s="6">
        <v>10167000</v>
      </c>
      <c r="K733" s="6">
        <v>10167000</v>
      </c>
      <c r="L733" s="6">
        <v>10167000</v>
      </c>
      <c r="M733" s="28">
        <v>123</v>
      </c>
      <c r="N733" s="5" t="s">
        <v>253</v>
      </c>
      <c r="O733" s="29" t="s">
        <v>245</v>
      </c>
      <c r="P733" s="29" t="s">
        <v>245</v>
      </c>
      <c r="Q733" s="29" t="s">
        <v>245</v>
      </c>
      <c r="R733" s="39">
        <v>42926</v>
      </c>
      <c r="S733" s="31" t="s">
        <v>246</v>
      </c>
      <c r="T733" s="32">
        <v>2017</v>
      </c>
      <c r="U733" s="40">
        <v>42916</v>
      </c>
      <c r="V733" s="32"/>
    </row>
    <row r="734" spans="1:22" ht="19.5" customHeight="1" x14ac:dyDescent="0.3">
      <c r="A734" s="34">
        <v>2017</v>
      </c>
      <c r="B734" s="35">
        <v>42826</v>
      </c>
      <c r="C734" s="34">
        <v>1000</v>
      </c>
      <c r="D734" s="8" t="s">
        <v>84</v>
      </c>
      <c r="E734" s="6">
        <v>0</v>
      </c>
      <c r="F734" s="6">
        <v>2030604.33</v>
      </c>
      <c r="G734" s="38">
        <v>3352861</v>
      </c>
      <c r="H734" s="34">
        <v>1500</v>
      </c>
      <c r="I734" s="8" t="s">
        <v>84</v>
      </c>
      <c r="J734" s="6">
        <v>3352861</v>
      </c>
      <c r="K734" s="6">
        <v>3352861</v>
      </c>
      <c r="L734" s="6">
        <v>3352861</v>
      </c>
      <c r="M734" s="37">
        <v>124</v>
      </c>
      <c r="N734" s="5" t="s">
        <v>253</v>
      </c>
      <c r="O734" s="29" t="s">
        <v>245</v>
      </c>
      <c r="P734" s="29" t="s">
        <v>245</v>
      </c>
      <c r="Q734" s="29" t="s">
        <v>245</v>
      </c>
      <c r="R734" s="39">
        <v>42926</v>
      </c>
      <c r="S734" s="31" t="s">
        <v>246</v>
      </c>
      <c r="T734" s="32">
        <v>2017</v>
      </c>
      <c r="U734" s="40">
        <v>42916</v>
      </c>
      <c r="V734" s="32"/>
    </row>
    <row r="735" spans="1:22" ht="19.5" customHeight="1" x14ac:dyDescent="0.3">
      <c r="A735" s="34">
        <v>2017</v>
      </c>
      <c r="B735" s="35">
        <v>42826</v>
      </c>
      <c r="C735" s="34">
        <v>1000</v>
      </c>
      <c r="D735" s="8" t="s">
        <v>85</v>
      </c>
      <c r="E735" s="6">
        <v>5995394.5300000003</v>
      </c>
      <c r="F735" s="6">
        <v>5995394.5300000003</v>
      </c>
      <c r="G735" s="38">
        <v>2113174.25</v>
      </c>
      <c r="H735" s="34">
        <v>1500</v>
      </c>
      <c r="I735" s="8" t="s">
        <v>85</v>
      </c>
      <c r="J735" s="6">
        <v>1705029.18</v>
      </c>
      <c r="K735" s="6">
        <v>1705029.18</v>
      </c>
      <c r="L735" s="6">
        <v>1705029.18</v>
      </c>
      <c r="M735" s="28">
        <v>125</v>
      </c>
      <c r="N735" s="5" t="s">
        <v>253</v>
      </c>
      <c r="O735" s="29" t="s">
        <v>245</v>
      </c>
      <c r="P735" s="29" t="s">
        <v>245</v>
      </c>
      <c r="Q735" s="29" t="s">
        <v>245</v>
      </c>
      <c r="R735" s="39">
        <v>42926</v>
      </c>
      <c r="S735" s="31" t="s">
        <v>246</v>
      </c>
      <c r="T735" s="32">
        <v>2017</v>
      </c>
      <c r="U735" s="40">
        <v>42916</v>
      </c>
      <c r="V735" s="32"/>
    </row>
    <row r="736" spans="1:22" ht="19.5" customHeight="1" x14ac:dyDescent="0.3">
      <c r="A736" s="34">
        <v>2017</v>
      </c>
      <c r="B736" s="35">
        <v>42826</v>
      </c>
      <c r="C736" s="34">
        <v>1000</v>
      </c>
      <c r="D736" s="8" t="s">
        <v>86</v>
      </c>
      <c r="E736" s="6">
        <v>0</v>
      </c>
      <c r="F736" s="6">
        <v>43221.599999999999</v>
      </c>
      <c r="G736" s="38">
        <v>43221.599999999999</v>
      </c>
      <c r="H736" s="34">
        <v>1500</v>
      </c>
      <c r="I736" s="8" t="s">
        <v>86</v>
      </c>
      <c r="J736" s="6">
        <v>43221.599999999999</v>
      </c>
      <c r="K736" s="6">
        <v>43221.599999999999</v>
      </c>
      <c r="L736" s="6">
        <v>43221.599999999999</v>
      </c>
      <c r="M736" s="37">
        <v>126</v>
      </c>
      <c r="N736" s="5" t="s">
        <v>253</v>
      </c>
      <c r="O736" s="29" t="s">
        <v>245</v>
      </c>
      <c r="P736" s="29" t="s">
        <v>245</v>
      </c>
      <c r="Q736" s="29" t="s">
        <v>245</v>
      </c>
      <c r="R736" s="39">
        <v>42926</v>
      </c>
      <c r="S736" s="31" t="s">
        <v>246</v>
      </c>
      <c r="T736" s="32">
        <v>2017</v>
      </c>
      <c r="U736" s="40">
        <v>42916</v>
      </c>
      <c r="V736" s="32"/>
    </row>
    <row r="737" spans="1:22" ht="19.5" customHeight="1" x14ac:dyDescent="0.3">
      <c r="A737" s="34">
        <v>2017</v>
      </c>
      <c r="B737" s="35">
        <v>42826</v>
      </c>
      <c r="C737" s="34">
        <v>1000</v>
      </c>
      <c r="D737" s="8" t="s">
        <v>255</v>
      </c>
      <c r="E737" s="6">
        <v>0</v>
      </c>
      <c r="F737" s="6">
        <v>300859.90000000002</v>
      </c>
      <c r="G737" s="38">
        <v>300859.90000000002</v>
      </c>
      <c r="H737" s="34">
        <v>1500</v>
      </c>
      <c r="I737" s="8" t="s">
        <v>255</v>
      </c>
      <c r="J737" s="6">
        <v>300859.90000000002</v>
      </c>
      <c r="K737" s="6">
        <v>300859.90000000002</v>
      </c>
      <c r="L737" s="6">
        <v>300859.90000000002</v>
      </c>
      <c r="M737" s="28">
        <v>127</v>
      </c>
      <c r="N737" s="5" t="s">
        <v>253</v>
      </c>
      <c r="O737" s="29" t="s">
        <v>245</v>
      </c>
      <c r="P737" s="29" t="s">
        <v>245</v>
      </c>
      <c r="Q737" s="29" t="s">
        <v>245</v>
      </c>
      <c r="R737" s="39">
        <v>42926</v>
      </c>
      <c r="S737" s="31" t="s">
        <v>246</v>
      </c>
      <c r="T737" s="32">
        <v>2017</v>
      </c>
      <c r="U737" s="40">
        <v>42916</v>
      </c>
      <c r="V737" s="32"/>
    </row>
    <row r="738" spans="1:22" ht="19.5" customHeight="1" x14ac:dyDescent="0.3">
      <c r="A738" s="34">
        <v>2017</v>
      </c>
      <c r="B738" s="35">
        <v>42826</v>
      </c>
      <c r="C738" s="34">
        <v>1000</v>
      </c>
      <c r="D738" s="8" t="s">
        <v>88</v>
      </c>
      <c r="E738" s="6">
        <v>90162085.730000004</v>
      </c>
      <c r="F738" s="6">
        <v>90162085.730000004</v>
      </c>
      <c r="G738" s="38">
        <v>36177168.600000001</v>
      </c>
      <c r="H738" s="34">
        <v>1500</v>
      </c>
      <c r="I738" s="8" t="s">
        <v>88</v>
      </c>
      <c r="J738" s="6">
        <v>31732800.280000001</v>
      </c>
      <c r="K738" s="6">
        <v>31732800.280000001</v>
      </c>
      <c r="L738" s="6">
        <v>31732800.280000001</v>
      </c>
      <c r="M738" s="37">
        <v>128</v>
      </c>
      <c r="N738" s="5" t="s">
        <v>253</v>
      </c>
      <c r="O738" s="29" t="s">
        <v>245</v>
      </c>
      <c r="P738" s="29" t="s">
        <v>245</v>
      </c>
      <c r="Q738" s="29" t="s">
        <v>245</v>
      </c>
      <c r="R738" s="39">
        <v>42926</v>
      </c>
      <c r="S738" s="31" t="s">
        <v>246</v>
      </c>
      <c r="T738" s="32">
        <v>2017</v>
      </c>
      <c r="U738" s="40">
        <v>42916</v>
      </c>
      <c r="V738" s="32"/>
    </row>
    <row r="739" spans="1:22" ht="19.5" customHeight="1" x14ac:dyDescent="0.3">
      <c r="A739" s="34">
        <v>2017</v>
      </c>
      <c r="B739" s="35">
        <v>42826</v>
      </c>
      <c r="C739" s="34">
        <v>1000</v>
      </c>
      <c r="D739" s="8" t="s">
        <v>89</v>
      </c>
      <c r="E739" s="6">
        <v>0</v>
      </c>
      <c r="F739" s="6">
        <v>240120</v>
      </c>
      <c r="G739" s="38">
        <v>478239</v>
      </c>
      <c r="H739" s="34">
        <v>1500</v>
      </c>
      <c r="I739" s="8" t="s">
        <v>89</v>
      </c>
      <c r="J739" s="6">
        <v>400200</v>
      </c>
      <c r="K739" s="6">
        <v>400200</v>
      </c>
      <c r="L739" s="6">
        <v>400200</v>
      </c>
      <c r="M739" s="28">
        <v>129</v>
      </c>
      <c r="N739" s="5" t="s">
        <v>253</v>
      </c>
      <c r="O739" s="29" t="s">
        <v>245</v>
      </c>
      <c r="P739" s="29" t="s">
        <v>245</v>
      </c>
      <c r="Q739" s="29" t="s">
        <v>245</v>
      </c>
      <c r="R739" s="39">
        <v>42926</v>
      </c>
      <c r="S739" s="31" t="s">
        <v>246</v>
      </c>
      <c r="T739" s="32">
        <v>2017</v>
      </c>
      <c r="U739" s="40">
        <v>42916</v>
      </c>
      <c r="V739" s="32"/>
    </row>
    <row r="740" spans="1:22" ht="19.5" customHeight="1" x14ac:dyDescent="0.3">
      <c r="A740" s="34">
        <v>2017</v>
      </c>
      <c r="B740" s="35">
        <v>42826</v>
      </c>
      <c r="C740" s="34">
        <v>1000</v>
      </c>
      <c r="D740" s="7" t="s">
        <v>91</v>
      </c>
      <c r="E740" s="6">
        <v>370490379.48000002</v>
      </c>
      <c r="F740" s="6">
        <v>359498529.93000001</v>
      </c>
      <c r="G740" s="38">
        <v>208055665.69999999</v>
      </c>
      <c r="H740" s="34">
        <v>1500</v>
      </c>
      <c r="I740" s="7" t="s">
        <v>91</v>
      </c>
      <c r="J740" s="6">
        <v>178354846.83000001</v>
      </c>
      <c r="K740" s="6">
        <v>178354846.83000001</v>
      </c>
      <c r="L740" s="6">
        <v>178354846.83000001</v>
      </c>
      <c r="M740" s="37">
        <v>130</v>
      </c>
      <c r="N740" s="5" t="s">
        <v>253</v>
      </c>
      <c r="O740" s="29" t="s">
        <v>245</v>
      </c>
      <c r="P740" s="29" t="s">
        <v>245</v>
      </c>
      <c r="Q740" s="29" t="s">
        <v>245</v>
      </c>
      <c r="R740" s="39">
        <v>42926</v>
      </c>
      <c r="S740" s="31" t="s">
        <v>246</v>
      </c>
      <c r="T740" s="32">
        <v>2017</v>
      </c>
      <c r="U740" s="40">
        <v>42916</v>
      </c>
      <c r="V740" s="32"/>
    </row>
    <row r="741" spans="1:22" ht="19.5" customHeight="1" x14ac:dyDescent="0.3">
      <c r="A741" s="34">
        <v>2017</v>
      </c>
      <c r="B741" s="35">
        <v>42826</v>
      </c>
      <c r="C741" s="34">
        <v>2000</v>
      </c>
      <c r="D741" s="8" t="s">
        <v>93</v>
      </c>
      <c r="E741" s="6">
        <v>3095898.37</v>
      </c>
      <c r="F741" s="6">
        <v>2807321.26</v>
      </c>
      <c r="G741" s="36">
        <v>129627.81999999999</v>
      </c>
      <c r="H741" s="34">
        <v>2100</v>
      </c>
      <c r="I741" s="8" t="s">
        <v>93</v>
      </c>
      <c r="J741" s="6">
        <v>29380.9</v>
      </c>
      <c r="K741" s="6">
        <v>29380.9</v>
      </c>
      <c r="L741" s="6">
        <v>29380.9</v>
      </c>
      <c r="M741" s="28">
        <v>131</v>
      </c>
      <c r="N741" s="5" t="s">
        <v>256</v>
      </c>
      <c r="O741" s="29" t="s">
        <v>245</v>
      </c>
      <c r="P741" s="29" t="s">
        <v>245</v>
      </c>
      <c r="Q741" s="29" t="s">
        <v>245</v>
      </c>
      <c r="R741" s="39">
        <v>42926</v>
      </c>
      <c r="S741" s="31" t="s">
        <v>246</v>
      </c>
      <c r="T741" s="32">
        <v>2017</v>
      </c>
      <c r="U741" s="40">
        <v>42916</v>
      </c>
      <c r="V741" s="32"/>
    </row>
    <row r="742" spans="1:22" ht="19.5" customHeight="1" x14ac:dyDescent="0.3">
      <c r="A742" s="34">
        <v>2017</v>
      </c>
      <c r="B742" s="35">
        <v>42826</v>
      </c>
      <c r="C742" s="34">
        <v>2000</v>
      </c>
      <c r="D742" s="8" t="s">
        <v>94</v>
      </c>
      <c r="E742" s="6">
        <v>857074.2</v>
      </c>
      <c r="F742" s="6">
        <v>860102.2</v>
      </c>
      <c r="G742" s="36">
        <v>15702.16</v>
      </c>
      <c r="H742" s="34">
        <v>2100</v>
      </c>
      <c r="I742" s="8" t="s">
        <v>94</v>
      </c>
      <c r="J742" s="6">
        <v>14500.93</v>
      </c>
      <c r="K742" s="6">
        <v>14500.93</v>
      </c>
      <c r="L742" s="6">
        <v>14500.93</v>
      </c>
      <c r="M742" s="37">
        <v>132</v>
      </c>
      <c r="N742" s="5" t="s">
        <v>256</v>
      </c>
      <c r="O742" s="29" t="s">
        <v>245</v>
      </c>
      <c r="P742" s="29" t="s">
        <v>245</v>
      </c>
      <c r="Q742" s="29" t="s">
        <v>245</v>
      </c>
      <c r="R742" s="39">
        <v>42926</v>
      </c>
      <c r="S742" s="31" t="s">
        <v>246</v>
      </c>
      <c r="T742" s="32">
        <v>2017</v>
      </c>
      <c r="U742" s="40">
        <v>42916</v>
      </c>
      <c r="V742" s="32"/>
    </row>
    <row r="743" spans="1:22" ht="19.5" customHeight="1" x14ac:dyDescent="0.3">
      <c r="A743" s="34">
        <v>2017</v>
      </c>
      <c r="B743" s="35">
        <v>42826</v>
      </c>
      <c r="C743" s="34">
        <v>2000</v>
      </c>
      <c r="D743" s="8" t="s">
        <v>95</v>
      </c>
      <c r="E743" s="6">
        <v>4345428</v>
      </c>
      <c r="F743" s="6">
        <v>4423629.37</v>
      </c>
      <c r="G743" s="36">
        <v>700662.69</v>
      </c>
      <c r="H743" s="34">
        <v>2100</v>
      </c>
      <c r="I743" s="8" t="s">
        <v>95</v>
      </c>
      <c r="J743" s="6">
        <v>38104.33</v>
      </c>
      <c r="K743" s="6">
        <v>38104.33</v>
      </c>
      <c r="L743" s="6">
        <v>38104.33</v>
      </c>
      <c r="M743" s="28">
        <v>133</v>
      </c>
      <c r="N743" s="5" t="s">
        <v>256</v>
      </c>
      <c r="O743" s="29" t="s">
        <v>245</v>
      </c>
      <c r="P743" s="29" t="s">
        <v>245</v>
      </c>
      <c r="Q743" s="29" t="s">
        <v>245</v>
      </c>
      <c r="R743" s="39">
        <v>42926</v>
      </c>
      <c r="S743" s="31" t="s">
        <v>246</v>
      </c>
      <c r="T743" s="32">
        <v>2017</v>
      </c>
      <c r="U743" s="40">
        <v>42916</v>
      </c>
      <c r="V743" s="32"/>
    </row>
    <row r="744" spans="1:22" ht="19.5" customHeight="1" x14ac:dyDescent="0.3">
      <c r="A744" s="34">
        <v>2017</v>
      </c>
      <c r="B744" s="35">
        <v>42826</v>
      </c>
      <c r="C744" s="34">
        <v>2000</v>
      </c>
      <c r="D744" s="8" t="s">
        <v>96</v>
      </c>
      <c r="E744" s="6">
        <v>690025</v>
      </c>
      <c r="F744" s="6">
        <v>695912.9</v>
      </c>
      <c r="G744" s="36">
        <v>30887.9</v>
      </c>
      <c r="H744" s="34">
        <v>2100</v>
      </c>
      <c r="I744" s="8" t="s">
        <v>96</v>
      </c>
      <c r="J744" s="6">
        <v>5887.9</v>
      </c>
      <c r="K744" s="6">
        <v>5887.9</v>
      </c>
      <c r="L744" s="6">
        <v>5887.9</v>
      </c>
      <c r="M744" s="37">
        <v>134</v>
      </c>
      <c r="N744" s="5" t="s">
        <v>256</v>
      </c>
      <c r="O744" s="29" t="s">
        <v>245</v>
      </c>
      <c r="P744" s="29" t="s">
        <v>245</v>
      </c>
      <c r="Q744" s="29" t="s">
        <v>245</v>
      </c>
      <c r="R744" s="39">
        <v>42926</v>
      </c>
      <c r="S744" s="31" t="s">
        <v>246</v>
      </c>
      <c r="T744" s="32">
        <v>2017</v>
      </c>
      <c r="U744" s="40">
        <v>42916</v>
      </c>
      <c r="V744" s="32"/>
    </row>
    <row r="745" spans="1:22" ht="19.5" customHeight="1" x14ac:dyDescent="0.3">
      <c r="A745" s="34">
        <v>2017</v>
      </c>
      <c r="B745" s="35">
        <v>42826</v>
      </c>
      <c r="C745" s="34">
        <v>2000</v>
      </c>
      <c r="D745" s="8" t="s">
        <v>97</v>
      </c>
      <c r="E745" s="6">
        <v>1885159.2</v>
      </c>
      <c r="F745" s="6">
        <v>1886745.48</v>
      </c>
      <c r="G745" s="36">
        <v>1586.2800000000002</v>
      </c>
      <c r="H745" s="34">
        <v>2100</v>
      </c>
      <c r="I745" s="8" t="s">
        <v>97</v>
      </c>
      <c r="J745" s="6">
        <v>1586.28</v>
      </c>
      <c r="K745" s="6">
        <v>1586.28</v>
      </c>
      <c r="L745" s="6">
        <v>1586.28</v>
      </c>
      <c r="M745" s="28">
        <v>135</v>
      </c>
      <c r="N745" s="5" t="s">
        <v>256</v>
      </c>
      <c r="O745" s="29" t="s">
        <v>245</v>
      </c>
      <c r="P745" s="29" t="s">
        <v>245</v>
      </c>
      <c r="Q745" s="29" t="s">
        <v>245</v>
      </c>
      <c r="R745" s="39">
        <v>42926</v>
      </c>
      <c r="S745" s="31" t="s">
        <v>246</v>
      </c>
      <c r="T745" s="32">
        <v>2017</v>
      </c>
      <c r="U745" s="40">
        <v>42916</v>
      </c>
      <c r="V745" s="32"/>
    </row>
    <row r="746" spans="1:22" ht="19.5" customHeight="1" x14ac:dyDescent="0.3">
      <c r="A746" s="34">
        <v>2017</v>
      </c>
      <c r="B746" s="35">
        <v>42826</v>
      </c>
      <c r="C746" s="34">
        <v>2000</v>
      </c>
      <c r="D746" s="8" t="s">
        <v>98</v>
      </c>
      <c r="E746" s="6">
        <v>39650</v>
      </c>
      <c r="F746" s="6">
        <v>40042.83</v>
      </c>
      <c r="G746" s="36">
        <v>392.83</v>
      </c>
      <c r="H746" s="34">
        <v>2100</v>
      </c>
      <c r="I746" s="8" t="s">
        <v>98</v>
      </c>
      <c r="J746" s="6">
        <v>392.83</v>
      </c>
      <c r="K746" s="6">
        <v>392.83</v>
      </c>
      <c r="L746" s="6">
        <v>392.83</v>
      </c>
      <c r="M746" s="37">
        <v>136</v>
      </c>
      <c r="N746" s="5" t="s">
        <v>256</v>
      </c>
      <c r="O746" s="29" t="s">
        <v>245</v>
      </c>
      <c r="P746" s="29" t="s">
        <v>245</v>
      </c>
      <c r="Q746" s="29" t="s">
        <v>245</v>
      </c>
      <c r="R746" s="39">
        <v>42926</v>
      </c>
      <c r="S746" s="31" t="s">
        <v>246</v>
      </c>
      <c r="T746" s="32">
        <v>2017</v>
      </c>
      <c r="U746" s="40">
        <v>42916</v>
      </c>
      <c r="V746" s="32"/>
    </row>
    <row r="747" spans="1:22" ht="19.5" customHeight="1" x14ac:dyDescent="0.3">
      <c r="A747" s="34">
        <v>2017</v>
      </c>
      <c r="B747" s="35">
        <v>42826</v>
      </c>
      <c r="C747" s="34">
        <v>2000</v>
      </c>
      <c r="D747" s="7" t="s">
        <v>99</v>
      </c>
      <c r="E747" s="6">
        <v>15000</v>
      </c>
      <c r="F747" s="6">
        <v>15000</v>
      </c>
      <c r="G747" s="36">
        <v>0</v>
      </c>
      <c r="H747" s="34">
        <v>2100</v>
      </c>
      <c r="I747" s="7" t="s">
        <v>99</v>
      </c>
      <c r="J747" s="6">
        <v>0</v>
      </c>
      <c r="K747" s="6">
        <v>0</v>
      </c>
      <c r="L747" s="6">
        <v>0</v>
      </c>
      <c r="M747" s="28">
        <v>137</v>
      </c>
      <c r="N747" s="5" t="s">
        <v>256</v>
      </c>
      <c r="O747" s="29" t="s">
        <v>245</v>
      </c>
      <c r="P747" s="29" t="s">
        <v>245</v>
      </c>
      <c r="Q747" s="29" t="s">
        <v>245</v>
      </c>
      <c r="R747" s="39">
        <v>42926</v>
      </c>
      <c r="S747" s="31" t="s">
        <v>246</v>
      </c>
      <c r="T747" s="32">
        <v>2017</v>
      </c>
      <c r="U747" s="40">
        <v>42916</v>
      </c>
      <c r="V747" s="32"/>
    </row>
    <row r="748" spans="1:22" ht="19.5" customHeight="1" x14ac:dyDescent="0.3">
      <c r="A748" s="34">
        <v>2017</v>
      </c>
      <c r="B748" s="35">
        <v>42826</v>
      </c>
      <c r="C748" s="34">
        <v>2000</v>
      </c>
      <c r="D748" s="8" t="s">
        <v>100</v>
      </c>
      <c r="E748" s="6">
        <v>15352041.029999999</v>
      </c>
      <c r="F748" s="6">
        <v>15392090.32</v>
      </c>
      <c r="G748" s="36">
        <v>14513443.440000001</v>
      </c>
      <c r="H748" s="34">
        <v>2200</v>
      </c>
      <c r="I748" s="8" t="s">
        <v>100</v>
      </c>
      <c r="J748" s="6">
        <v>3403426.45</v>
      </c>
      <c r="K748" s="6">
        <v>3403426.45</v>
      </c>
      <c r="L748" s="6">
        <v>3403426.45</v>
      </c>
      <c r="M748" s="37">
        <v>138</v>
      </c>
      <c r="N748" s="5" t="s">
        <v>256</v>
      </c>
      <c r="O748" s="29" t="s">
        <v>245</v>
      </c>
      <c r="P748" s="29" t="s">
        <v>245</v>
      </c>
      <c r="Q748" s="29" t="s">
        <v>245</v>
      </c>
      <c r="R748" s="39">
        <v>42926</v>
      </c>
      <c r="S748" s="31" t="s">
        <v>246</v>
      </c>
      <c r="T748" s="32">
        <v>2017</v>
      </c>
      <c r="U748" s="40">
        <v>42916</v>
      </c>
      <c r="V748" s="32"/>
    </row>
    <row r="749" spans="1:22" ht="19.5" customHeight="1" x14ac:dyDescent="0.3">
      <c r="A749" s="34">
        <v>2017</v>
      </c>
      <c r="B749" s="35">
        <v>42826</v>
      </c>
      <c r="C749" s="34">
        <v>2000</v>
      </c>
      <c r="D749" s="8" t="s">
        <v>101</v>
      </c>
      <c r="E749" s="6">
        <v>134400</v>
      </c>
      <c r="F749" s="6">
        <v>135401.35999999999</v>
      </c>
      <c r="G749" s="36">
        <v>1001.36</v>
      </c>
      <c r="H749" s="34">
        <v>2200</v>
      </c>
      <c r="I749" s="8" t="s">
        <v>101</v>
      </c>
      <c r="J749" s="6">
        <v>1001.36</v>
      </c>
      <c r="K749" s="6">
        <v>1001.36</v>
      </c>
      <c r="L749" s="6">
        <v>1001.36</v>
      </c>
      <c r="M749" s="28">
        <v>139</v>
      </c>
      <c r="N749" s="5" t="s">
        <v>256</v>
      </c>
      <c r="O749" s="29" t="s">
        <v>245</v>
      </c>
      <c r="P749" s="29" t="s">
        <v>245</v>
      </c>
      <c r="Q749" s="29" t="s">
        <v>245</v>
      </c>
      <c r="R749" s="39">
        <v>42926</v>
      </c>
      <c r="S749" s="31" t="s">
        <v>246</v>
      </c>
      <c r="T749" s="32">
        <v>2017</v>
      </c>
      <c r="U749" s="40">
        <v>42916</v>
      </c>
      <c r="V749" s="32"/>
    </row>
    <row r="750" spans="1:22" ht="19.5" customHeight="1" x14ac:dyDescent="0.3">
      <c r="A750" s="34">
        <v>2017</v>
      </c>
      <c r="B750" s="35">
        <v>42826</v>
      </c>
      <c r="C750" s="34">
        <v>2000</v>
      </c>
      <c r="D750" s="7" t="s">
        <v>102</v>
      </c>
      <c r="E750" s="6">
        <v>1500</v>
      </c>
      <c r="F750" s="6">
        <v>1500</v>
      </c>
      <c r="G750" s="36">
        <v>0</v>
      </c>
      <c r="H750" s="34">
        <v>2300</v>
      </c>
      <c r="I750" s="7" t="s">
        <v>102</v>
      </c>
      <c r="J750" s="6">
        <v>0</v>
      </c>
      <c r="K750" s="6">
        <v>0</v>
      </c>
      <c r="L750" s="6">
        <v>0</v>
      </c>
      <c r="M750" s="37">
        <v>140</v>
      </c>
      <c r="N750" s="5" t="s">
        <v>256</v>
      </c>
      <c r="O750" s="29" t="s">
        <v>245</v>
      </c>
      <c r="P750" s="29" t="s">
        <v>245</v>
      </c>
      <c r="Q750" s="29" t="s">
        <v>245</v>
      </c>
      <c r="R750" s="39">
        <v>42926</v>
      </c>
      <c r="S750" s="31" t="s">
        <v>246</v>
      </c>
      <c r="T750" s="32">
        <v>2017</v>
      </c>
      <c r="U750" s="40">
        <v>42916</v>
      </c>
      <c r="V750" s="32"/>
    </row>
    <row r="751" spans="1:22" ht="19.5" customHeight="1" x14ac:dyDescent="0.3">
      <c r="A751" s="34">
        <v>2017</v>
      </c>
      <c r="B751" s="35">
        <v>42826</v>
      </c>
      <c r="C751" s="34">
        <v>2000</v>
      </c>
      <c r="D751" s="7" t="s">
        <v>104</v>
      </c>
      <c r="E751" s="6">
        <v>483840</v>
      </c>
      <c r="F751" s="6">
        <v>483840</v>
      </c>
      <c r="G751" s="36">
        <v>483839.99</v>
      </c>
      <c r="H751" s="34">
        <v>2300</v>
      </c>
      <c r="I751" s="7" t="s">
        <v>104</v>
      </c>
      <c r="J751" s="6">
        <v>98483.97</v>
      </c>
      <c r="K751" s="6">
        <v>98483.97</v>
      </c>
      <c r="L751" s="6">
        <v>98483.97</v>
      </c>
      <c r="M751" s="28">
        <v>141</v>
      </c>
      <c r="N751" s="5" t="s">
        <v>256</v>
      </c>
      <c r="O751" s="29" t="s">
        <v>245</v>
      </c>
      <c r="P751" s="29" t="s">
        <v>245</v>
      </c>
      <c r="Q751" s="29" t="s">
        <v>245</v>
      </c>
      <c r="R751" s="39">
        <v>42926</v>
      </c>
      <c r="S751" s="31" t="s">
        <v>246</v>
      </c>
      <c r="T751" s="32">
        <v>2017</v>
      </c>
      <c r="U751" s="40">
        <v>42916</v>
      </c>
      <c r="V751" s="32"/>
    </row>
    <row r="752" spans="1:22" ht="19.5" customHeight="1" x14ac:dyDescent="0.3">
      <c r="A752" s="34">
        <v>2017</v>
      </c>
      <c r="B752" s="35">
        <v>42826</v>
      </c>
      <c r="C752" s="34">
        <v>2000</v>
      </c>
      <c r="D752" s="7" t="s">
        <v>216</v>
      </c>
      <c r="E752" s="6">
        <v>0</v>
      </c>
      <c r="F752" s="6">
        <v>1258.1099999999999</v>
      </c>
      <c r="G752" s="36">
        <v>1258.1099999999999</v>
      </c>
      <c r="H752" s="34">
        <v>2300</v>
      </c>
      <c r="I752" s="7" t="s">
        <v>216</v>
      </c>
      <c r="J752" s="6">
        <v>1258.1099999999999</v>
      </c>
      <c r="K752" s="6">
        <v>1258.1099999999999</v>
      </c>
      <c r="L752" s="6">
        <v>1258.1099999999999</v>
      </c>
      <c r="M752" s="37">
        <v>142</v>
      </c>
      <c r="N752" s="5" t="s">
        <v>256</v>
      </c>
      <c r="O752" s="29" t="s">
        <v>245</v>
      </c>
      <c r="P752" s="29" t="s">
        <v>245</v>
      </c>
      <c r="Q752" s="29" t="s">
        <v>245</v>
      </c>
      <c r="R752" s="39">
        <v>42926</v>
      </c>
      <c r="S752" s="31" t="s">
        <v>246</v>
      </c>
      <c r="T752" s="32">
        <v>2017</v>
      </c>
      <c r="U752" s="40">
        <v>42916</v>
      </c>
      <c r="V752" s="32"/>
    </row>
    <row r="753" spans="1:22" ht="19.5" customHeight="1" x14ac:dyDescent="0.3">
      <c r="A753" s="34">
        <v>2017</v>
      </c>
      <c r="B753" s="35">
        <v>42826</v>
      </c>
      <c r="C753" s="34">
        <v>2000</v>
      </c>
      <c r="D753" s="7" t="s">
        <v>257</v>
      </c>
      <c r="E753" s="6">
        <v>0</v>
      </c>
      <c r="F753" s="6">
        <v>8048.08</v>
      </c>
      <c r="G753" s="36">
        <v>8048.08</v>
      </c>
      <c r="H753" s="34">
        <v>2300</v>
      </c>
      <c r="I753" s="7" t="s">
        <v>257</v>
      </c>
      <c r="J753" s="6">
        <v>8048.08</v>
      </c>
      <c r="K753" s="6">
        <v>8048.08</v>
      </c>
      <c r="L753" s="6">
        <v>8048.08</v>
      </c>
      <c r="M753" s="28">
        <v>143</v>
      </c>
      <c r="N753" s="5" t="s">
        <v>256</v>
      </c>
      <c r="O753" s="29" t="s">
        <v>245</v>
      </c>
      <c r="P753" s="29" t="s">
        <v>245</v>
      </c>
      <c r="Q753" s="29" t="s">
        <v>245</v>
      </c>
      <c r="R753" s="39">
        <v>42926</v>
      </c>
      <c r="S753" s="31" t="s">
        <v>246</v>
      </c>
      <c r="T753" s="32">
        <v>2017</v>
      </c>
      <c r="U753" s="40">
        <v>42916</v>
      </c>
      <c r="V753" s="32"/>
    </row>
    <row r="754" spans="1:22" ht="19.5" customHeight="1" x14ac:dyDescent="0.3">
      <c r="A754" s="34">
        <v>2017</v>
      </c>
      <c r="B754" s="35">
        <v>42826</v>
      </c>
      <c r="C754" s="34">
        <v>2000</v>
      </c>
      <c r="D754" s="7" t="s">
        <v>109</v>
      </c>
      <c r="E754" s="6">
        <v>23200</v>
      </c>
      <c r="F754" s="6">
        <v>23200</v>
      </c>
      <c r="G754" s="36">
        <v>1067.2</v>
      </c>
      <c r="H754" s="34">
        <v>2400</v>
      </c>
      <c r="I754" s="7" t="s">
        <v>109</v>
      </c>
      <c r="J754" s="6">
        <v>0</v>
      </c>
      <c r="K754" s="6">
        <v>0</v>
      </c>
      <c r="L754" s="6">
        <v>0</v>
      </c>
      <c r="M754" s="37">
        <v>144</v>
      </c>
      <c r="N754" s="5" t="s">
        <v>256</v>
      </c>
      <c r="O754" s="29" t="s">
        <v>245</v>
      </c>
      <c r="P754" s="29" t="s">
        <v>245</v>
      </c>
      <c r="Q754" s="29" t="s">
        <v>245</v>
      </c>
      <c r="R754" s="39">
        <v>42926</v>
      </c>
      <c r="S754" s="31" t="s">
        <v>246</v>
      </c>
      <c r="T754" s="32">
        <v>2017</v>
      </c>
      <c r="U754" s="40">
        <v>42916</v>
      </c>
      <c r="V754" s="32"/>
    </row>
    <row r="755" spans="1:22" ht="19.5" customHeight="1" x14ac:dyDescent="0.3">
      <c r="A755" s="34">
        <v>2017</v>
      </c>
      <c r="B755" s="35">
        <v>42826</v>
      </c>
      <c r="C755" s="34">
        <v>2000</v>
      </c>
      <c r="D755" s="7" t="s">
        <v>111</v>
      </c>
      <c r="E755" s="6">
        <v>845263.86</v>
      </c>
      <c r="F755" s="6">
        <v>863647.97</v>
      </c>
      <c r="G755" s="36">
        <v>28193.77</v>
      </c>
      <c r="H755" s="34">
        <v>2400</v>
      </c>
      <c r="I755" s="7" t="s">
        <v>111</v>
      </c>
      <c r="J755" s="6">
        <v>18384.11</v>
      </c>
      <c r="K755" s="6">
        <v>18384.11</v>
      </c>
      <c r="L755" s="6">
        <v>18384.11</v>
      </c>
      <c r="M755" s="28">
        <v>145</v>
      </c>
      <c r="N755" s="5" t="s">
        <v>256</v>
      </c>
      <c r="O755" s="29" t="s">
        <v>245</v>
      </c>
      <c r="P755" s="29" t="s">
        <v>245</v>
      </c>
      <c r="Q755" s="29" t="s">
        <v>245</v>
      </c>
      <c r="R755" s="39">
        <v>42926</v>
      </c>
      <c r="S755" s="31" t="s">
        <v>246</v>
      </c>
      <c r="T755" s="32">
        <v>2017</v>
      </c>
      <c r="U755" s="40">
        <v>42916</v>
      </c>
      <c r="V755" s="32"/>
    </row>
    <row r="756" spans="1:22" ht="19.5" customHeight="1" x14ac:dyDescent="0.3">
      <c r="A756" s="34">
        <v>2017</v>
      </c>
      <c r="B756" s="35">
        <v>42826</v>
      </c>
      <c r="C756" s="34">
        <v>2000</v>
      </c>
      <c r="D756" s="7" t="s">
        <v>112</v>
      </c>
      <c r="E756" s="6">
        <v>245000</v>
      </c>
      <c r="F756" s="6">
        <v>352585.87</v>
      </c>
      <c r="G756" s="36">
        <v>85270.62</v>
      </c>
      <c r="H756" s="34">
        <v>2400</v>
      </c>
      <c r="I756" s="7" t="s">
        <v>112</v>
      </c>
      <c r="J756" s="6">
        <v>83083.13</v>
      </c>
      <c r="K756" s="6">
        <v>83083.13</v>
      </c>
      <c r="L756" s="6">
        <v>83083.13</v>
      </c>
      <c r="M756" s="37">
        <v>146</v>
      </c>
      <c r="N756" s="5" t="s">
        <v>256</v>
      </c>
      <c r="O756" s="29" t="s">
        <v>245</v>
      </c>
      <c r="P756" s="29" t="s">
        <v>245</v>
      </c>
      <c r="Q756" s="29" t="s">
        <v>245</v>
      </c>
      <c r="R756" s="39">
        <v>42926</v>
      </c>
      <c r="S756" s="31" t="s">
        <v>246</v>
      </c>
      <c r="T756" s="32">
        <v>2017</v>
      </c>
      <c r="U756" s="40">
        <v>42916</v>
      </c>
      <c r="V756" s="32"/>
    </row>
    <row r="757" spans="1:22" ht="19.5" customHeight="1" x14ac:dyDescent="0.3">
      <c r="A757" s="34">
        <v>2017</v>
      </c>
      <c r="B757" s="35">
        <v>42826</v>
      </c>
      <c r="C757" s="34">
        <v>2000</v>
      </c>
      <c r="D757" s="7" t="s">
        <v>113</v>
      </c>
      <c r="E757" s="6">
        <v>100000</v>
      </c>
      <c r="F757" s="6">
        <v>105109.49</v>
      </c>
      <c r="G757" s="36">
        <v>7133.69</v>
      </c>
      <c r="H757" s="34">
        <v>2400</v>
      </c>
      <c r="I757" s="7" t="s">
        <v>113</v>
      </c>
      <c r="J757" s="6">
        <v>4982.74</v>
      </c>
      <c r="K757" s="6">
        <v>4982.74</v>
      </c>
      <c r="L757" s="6">
        <v>4982.74</v>
      </c>
      <c r="M757" s="28">
        <v>147</v>
      </c>
      <c r="N757" s="5" t="s">
        <v>256</v>
      </c>
      <c r="O757" s="29" t="s">
        <v>245</v>
      </c>
      <c r="P757" s="29" t="s">
        <v>245</v>
      </c>
      <c r="Q757" s="29" t="s">
        <v>245</v>
      </c>
      <c r="R757" s="39">
        <v>42926</v>
      </c>
      <c r="S757" s="31" t="s">
        <v>246</v>
      </c>
      <c r="T757" s="32">
        <v>2017</v>
      </c>
      <c r="U757" s="40">
        <v>42916</v>
      </c>
      <c r="V757" s="32"/>
    </row>
    <row r="758" spans="1:22" ht="19.5" customHeight="1" x14ac:dyDescent="0.3">
      <c r="A758" s="34">
        <v>2017</v>
      </c>
      <c r="B758" s="35">
        <v>42826</v>
      </c>
      <c r="C758" s="34">
        <v>2000</v>
      </c>
      <c r="D758" s="7" t="s">
        <v>114</v>
      </c>
      <c r="E758" s="6">
        <v>1972</v>
      </c>
      <c r="F758" s="6">
        <v>9302.43</v>
      </c>
      <c r="G758" s="36">
        <v>14809.68</v>
      </c>
      <c r="H758" s="34">
        <v>2400</v>
      </c>
      <c r="I758" s="7" t="s">
        <v>114</v>
      </c>
      <c r="J758" s="6">
        <v>7330.43</v>
      </c>
      <c r="K758" s="6">
        <v>7330.43</v>
      </c>
      <c r="L758" s="6">
        <v>7330.43</v>
      </c>
      <c r="M758" s="37">
        <v>148</v>
      </c>
      <c r="N758" s="5" t="s">
        <v>256</v>
      </c>
      <c r="O758" s="29" t="s">
        <v>245</v>
      </c>
      <c r="P758" s="29" t="s">
        <v>245</v>
      </c>
      <c r="Q758" s="29" t="s">
        <v>245</v>
      </c>
      <c r="R758" s="39">
        <v>42926</v>
      </c>
      <c r="S758" s="31" t="s">
        <v>246</v>
      </c>
      <c r="T758" s="32">
        <v>2017</v>
      </c>
      <c r="U758" s="40">
        <v>42916</v>
      </c>
      <c r="V758" s="32"/>
    </row>
    <row r="759" spans="1:22" ht="19.5" customHeight="1" x14ac:dyDescent="0.3">
      <c r="A759" s="34">
        <v>2017</v>
      </c>
      <c r="B759" s="35">
        <v>42826</v>
      </c>
      <c r="C759" s="34">
        <v>2000</v>
      </c>
      <c r="D759" s="8" t="s">
        <v>115</v>
      </c>
      <c r="E759" s="6">
        <v>1399000</v>
      </c>
      <c r="F759" s="6">
        <v>1399000</v>
      </c>
      <c r="G759" s="36">
        <v>98965</v>
      </c>
      <c r="H759" s="34">
        <v>2500</v>
      </c>
      <c r="I759" s="8" t="s">
        <v>115</v>
      </c>
      <c r="J759" s="6">
        <v>27392</v>
      </c>
      <c r="K759" s="6">
        <v>27392</v>
      </c>
      <c r="L759" s="6">
        <v>27392</v>
      </c>
      <c r="M759" s="28">
        <v>149</v>
      </c>
      <c r="N759" s="5" t="s">
        <v>256</v>
      </c>
      <c r="O759" s="29" t="s">
        <v>245</v>
      </c>
      <c r="P759" s="29" t="s">
        <v>245</v>
      </c>
      <c r="Q759" s="29" t="s">
        <v>245</v>
      </c>
      <c r="R759" s="39">
        <v>42926</v>
      </c>
      <c r="S759" s="31" t="s">
        <v>246</v>
      </c>
      <c r="T759" s="32">
        <v>2017</v>
      </c>
      <c r="U759" s="40">
        <v>42916</v>
      </c>
      <c r="V759" s="32"/>
    </row>
    <row r="760" spans="1:22" ht="19.5" customHeight="1" x14ac:dyDescent="0.3">
      <c r="A760" s="34">
        <v>2017</v>
      </c>
      <c r="B760" s="35">
        <v>42826</v>
      </c>
      <c r="C760" s="34">
        <v>2000</v>
      </c>
      <c r="D760" s="8" t="s">
        <v>116</v>
      </c>
      <c r="E760" s="6">
        <v>0</v>
      </c>
      <c r="F760" s="6">
        <v>1761.01</v>
      </c>
      <c r="G760" s="36">
        <v>1761.01</v>
      </c>
      <c r="H760" s="34">
        <v>2500</v>
      </c>
      <c r="I760" s="8" t="s">
        <v>116</v>
      </c>
      <c r="J760" s="6">
        <v>1761.01</v>
      </c>
      <c r="K760" s="6">
        <v>1761.01</v>
      </c>
      <c r="L760" s="6">
        <v>1761.01</v>
      </c>
      <c r="M760" s="37">
        <v>150</v>
      </c>
      <c r="N760" s="5" t="s">
        <v>256</v>
      </c>
      <c r="O760" s="29" t="s">
        <v>245</v>
      </c>
      <c r="P760" s="29" t="s">
        <v>245</v>
      </c>
      <c r="Q760" s="29" t="s">
        <v>245</v>
      </c>
      <c r="R760" s="39">
        <v>42926</v>
      </c>
      <c r="S760" s="31" t="s">
        <v>246</v>
      </c>
      <c r="T760" s="32">
        <v>2017</v>
      </c>
      <c r="U760" s="40">
        <v>42916</v>
      </c>
      <c r="V760" s="32"/>
    </row>
    <row r="761" spans="1:22" ht="19.5" customHeight="1" x14ac:dyDescent="0.3">
      <c r="A761" s="34">
        <v>2017</v>
      </c>
      <c r="B761" s="35">
        <v>42826</v>
      </c>
      <c r="C761" s="34">
        <v>2000</v>
      </c>
      <c r="D761" s="8" t="s">
        <v>117</v>
      </c>
      <c r="E761" s="6">
        <v>1467.4</v>
      </c>
      <c r="F761" s="6">
        <v>1350.01</v>
      </c>
      <c r="G761" s="36">
        <v>1350.01</v>
      </c>
      <c r="H761" s="34">
        <v>2500</v>
      </c>
      <c r="I761" s="8" t="s">
        <v>117</v>
      </c>
      <c r="J761" s="6">
        <v>0</v>
      </c>
      <c r="K761" s="6">
        <v>0</v>
      </c>
      <c r="L761" s="6">
        <v>0</v>
      </c>
      <c r="M761" s="28">
        <v>151</v>
      </c>
      <c r="N761" s="5" t="s">
        <v>256</v>
      </c>
      <c r="O761" s="29" t="s">
        <v>245</v>
      </c>
      <c r="P761" s="29" t="s">
        <v>245</v>
      </c>
      <c r="Q761" s="29" t="s">
        <v>245</v>
      </c>
      <c r="R761" s="39">
        <v>42926</v>
      </c>
      <c r="S761" s="31" t="s">
        <v>246</v>
      </c>
      <c r="T761" s="32">
        <v>2017</v>
      </c>
      <c r="U761" s="40">
        <v>42916</v>
      </c>
      <c r="V761" s="32"/>
    </row>
    <row r="762" spans="1:22" ht="19.5" customHeight="1" x14ac:dyDescent="0.3">
      <c r="A762" s="34">
        <v>2017</v>
      </c>
      <c r="B762" s="35">
        <v>42826</v>
      </c>
      <c r="C762" s="34">
        <v>2000</v>
      </c>
      <c r="D762" s="8" t="s">
        <v>118</v>
      </c>
      <c r="E762" s="6">
        <v>2032500</v>
      </c>
      <c r="F762" s="6">
        <v>2033961.4</v>
      </c>
      <c r="G762" s="36">
        <v>7261.4</v>
      </c>
      <c r="H762" s="34">
        <v>2500</v>
      </c>
      <c r="I762" s="8" t="s">
        <v>118</v>
      </c>
      <c r="J762" s="6">
        <v>1461.4</v>
      </c>
      <c r="K762" s="6">
        <v>1461.4</v>
      </c>
      <c r="L762" s="6">
        <v>1461.4</v>
      </c>
      <c r="M762" s="37">
        <v>152</v>
      </c>
      <c r="N762" s="5" t="s">
        <v>256</v>
      </c>
      <c r="O762" s="29" t="s">
        <v>245</v>
      </c>
      <c r="P762" s="29" t="s">
        <v>245</v>
      </c>
      <c r="Q762" s="29" t="s">
        <v>245</v>
      </c>
      <c r="R762" s="39">
        <v>42926</v>
      </c>
      <c r="S762" s="31" t="s">
        <v>246</v>
      </c>
      <c r="T762" s="32">
        <v>2017</v>
      </c>
      <c r="U762" s="40">
        <v>42916</v>
      </c>
      <c r="V762" s="32"/>
    </row>
    <row r="763" spans="1:22" ht="19.5" customHeight="1" x14ac:dyDescent="0.3">
      <c r="A763" s="34">
        <v>2017</v>
      </c>
      <c r="B763" s="35">
        <v>42826</v>
      </c>
      <c r="C763" s="34">
        <v>2000</v>
      </c>
      <c r="D763" s="8" t="s">
        <v>119</v>
      </c>
      <c r="E763" s="6">
        <v>5284</v>
      </c>
      <c r="F763" s="6">
        <v>5312.65</v>
      </c>
      <c r="G763" s="36">
        <v>69.64</v>
      </c>
      <c r="H763" s="34">
        <v>2500</v>
      </c>
      <c r="I763" s="8" t="s">
        <v>119</v>
      </c>
      <c r="J763" s="6">
        <v>28.65</v>
      </c>
      <c r="K763" s="6">
        <v>28.65</v>
      </c>
      <c r="L763" s="6">
        <v>28.65</v>
      </c>
      <c r="M763" s="28">
        <v>153</v>
      </c>
      <c r="N763" s="5" t="s">
        <v>256</v>
      </c>
      <c r="O763" s="29" t="s">
        <v>245</v>
      </c>
      <c r="P763" s="29" t="s">
        <v>245</v>
      </c>
      <c r="Q763" s="29" t="s">
        <v>245</v>
      </c>
      <c r="R763" s="39">
        <v>42926</v>
      </c>
      <c r="S763" s="31" t="s">
        <v>246</v>
      </c>
      <c r="T763" s="32">
        <v>2017</v>
      </c>
      <c r="U763" s="40">
        <v>42916</v>
      </c>
      <c r="V763" s="32"/>
    </row>
    <row r="764" spans="1:22" ht="19.5" customHeight="1" x14ac:dyDescent="0.3">
      <c r="A764" s="34">
        <v>2017</v>
      </c>
      <c r="B764" s="35">
        <v>42826</v>
      </c>
      <c r="C764" s="34">
        <v>2000</v>
      </c>
      <c r="D764" s="12" t="s">
        <v>121</v>
      </c>
      <c r="E764" s="6">
        <v>948200</v>
      </c>
      <c r="F764" s="6">
        <v>948524.2</v>
      </c>
      <c r="G764" s="36">
        <v>945324.2</v>
      </c>
      <c r="H764" s="34">
        <v>2600</v>
      </c>
      <c r="I764" s="12" t="s">
        <v>121</v>
      </c>
      <c r="J764" s="6">
        <v>419099.92</v>
      </c>
      <c r="K764" s="6">
        <v>419099.92</v>
      </c>
      <c r="L764" s="6">
        <v>419099.92</v>
      </c>
      <c r="M764" s="37">
        <v>154</v>
      </c>
      <c r="N764" s="5" t="s">
        <v>256</v>
      </c>
      <c r="O764" s="29" t="s">
        <v>245</v>
      </c>
      <c r="P764" s="29" t="s">
        <v>245</v>
      </c>
      <c r="Q764" s="29" t="s">
        <v>245</v>
      </c>
      <c r="R764" s="39">
        <v>42926</v>
      </c>
      <c r="S764" s="31" t="s">
        <v>246</v>
      </c>
      <c r="T764" s="32">
        <v>2017</v>
      </c>
      <c r="U764" s="40">
        <v>42916</v>
      </c>
      <c r="V764" s="32"/>
    </row>
    <row r="765" spans="1:22" ht="19.5" customHeight="1" x14ac:dyDescent="0.3">
      <c r="A765" s="34">
        <v>2017</v>
      </c>
      <c r="B765" s="35">
        <v>42826</v>
      </c>
      <c r="C765" s="34">
        <v>2000</v>
      </c>
      <c r="D765" s="12" t="s">
        <v>122</v>
      </c>
      <c r="E765" s="6">
        <v>1746000</v>
      </c>
      <c r="F765" s="6">
        <v>1746000</v>
      </c>
      <c r="G765" s="36">
        <v>0</v>
      </c>
      <c r="H765" s="34">
        <v>2700</v>
      </c>
      <c r="I765" s="12" t="s">
        <v>122</v>
      </c>
      <c r="J765" s="6">
        <v>0</v>
      </c>
      <c r="K765" s="6">
        <v>0</v>
      </c>
      <c r="L765" s="6">
        <v>0</v>
      </c>
      <c r="M765" s="28">
        <v>155</v>
      </c>
      <c r="N765" s="5" t="s">
        <v>256</v>
      </c>
      <c r="O765" s="29" t="s">
        <v>245</v>
      </c>
      <c r="P765" s="29" t="s">
        <v>245</v>
      </c>
      <c r="Q765" s="29" t="s">
        <v>245</v>
      </c>
      <c r="R765" s="39">
        <v>42926</v>
      </c>
      <c r="S765" s="31" t="s">
        <v>246</v>
      </c>
      <c r="T765" s="32">
        <v>2017</v>
      </c>
      <c r="U765" s="40">
        <v>42916</v>
      </c>
      <c r="V765" s="32"/>
    </row>
    <row r="766" spans="1:22" ht="19.5" customHeight="1" x14ac:dyDescent="0.3">
      <c r="A766" s="34">
        <v>2017</v>
      </c>
      <c r="B766" s="35">
        <v>42826</v>
      </c>
      <c r="C766" s="34">
        <v>2000</v>
      </c>
      <c r="D766" s="12" t="s">
        <v>123</v>
      </c>
      <c r="E766" s="6">
        <v>2463243.75</v>
      </c>
      <c r="F766" s="6">
        <v>2464482.6</v>
      </c>
      <c r="G766" s="36">
        <v>3238.8500000000004</v>
      </c>
      <c r="H766" s="34">
        <v>2700</v>
      </c>
      <c r="I766" s="12" t="s">
        <v>123</v>
      </c>
      <c r="J766" s="6">
        <v>1238.8499999999999</v>
      </c>
      <c r="K766" s="6">
        <v>1238.8499999999999</v>
      </c>
      <c r="L766" s="6">
        <v>1238.8499999999999</v>
      </c>
      <c r="M766" s="37">
        <v>156</v>
      </c>
      <c r="N766" s="5" t="s">
        <v>256</v>
      </c>
      <c r="O766" s="29" t="s">
        <v>245</v>
      </c>
      <c r="P766" s="29" t="s">
        <v>245</v>
      </c>
      <c r="Q766" s="29" t="s">
        <v>245</v>
      </c>
      <c r="R766" s="39">
        <v>42926</v>
      </c>
      <c r="S766" s="31" t="s">
        <v>246</v>
      </c>
      <c r="T766" s="32">
        <v>2017</v>
      </c>
      <c r="U766" s="40">
        <v>42916</v>
      </c>
      <c r="V766" s="32"/>
    </row>
    <row r="767" spans="1:22" ht="19.5" customHeight="1" x14ac:dyDescent="0.3">
      <c r="A767" s="34">
        <v>2017</v>
      </c>
      <c r="B767" s="35">
        <v>42826</v>
      </c>
      <c r="C767" s="34">
        <v>2000</v>
      </c>
      <c r="D767" s="12" t="s">
        <v>124</v>
      </c>
      <c r="E767" s="6">
        <v>40800</v>
      </c>
      <c r="F767" s="6">
        <v>40800</v>
      </c>
      <c r="G767" s="36">
        <v>0</v>
      </c>
      <c r="H767" s="34">
        <v>2700</v>
      </c>
      <c r="I767" s="12" t="s">
        <v>124</v>
      </c>
      <c r="J767" s="6">
        <v>0</v>
      </c>
      <c r="K767" s="6">
        <v>0</v>
      </c>
      <c r="L767" s="6">
        <v>0</v>
      </c>
      <c r="M767" s="28">
        <v>157</v>
      </c>
      <c r="N767" s="5" t="s">
        <v>256</v>
      </c>
      <c r="O767" s="29" t="s">
        <v>245</v>
      </c>
      <c r="P767" s="29" t="s">
        <v>245</v>
      </c>
      <c r="Q767" s="29" t="s">
        <v>245</v>
      </c>
      <c r="R767" s="39">
        <v>42926</v>
      </c>
      <c r="S767" s="31" t="s">
        <v>246</v>
      </c>
      <c r="T767" s="32">
        <v>2017</v>
      </c>
      <c r="U767" s="40">
        <v>42916</v>
      </c>
      <c r="V767" s="32"/>
    </row>
    <row r="768" spans="1:22" ht="19.5" customHeight="1" x14ac:dyDescent="0.3">
      <c r="A768" s="34">
        <v>2017</v>
      </c>
      <c r="B768" s="35">
        <v>42826</v>
      </c>
      <c r="C768" s="34">
        <v>2000</v>
      </c>
      <c r="D768" s="12" t="s">
        <v>125</v>
      </c>
      <c r="E768" s="6">
        <v>32320</v>
      </c>
      <c r="F768" s="6">
        <v>32734.93</v>
      </c>
      <c r="G768" s="36">
        <v>414.93</v>
      </c>
      <c r="H768" s="34">
        <v>2700</v>
      </c>
      <c r="I768" s="12" t="s">
        <v>125</v>
      </c>
      <c r="J768" s="6">
        <v>414.93</v>
      </c>
      <c r="K768" s="6">
        <v>414.93</v>
      </c>
      <c r="L768" s="6">
        <v>414.93</v>
      </c>
      <c r="M768" s="37">
        <v>158</v>
      </c>
      <c r="N768" s="5" t="s">
        <v>256</v>
      </c>
      <c r="O768" s="29" t="s">
        <v>245</v>
      </c>
      <c r="P768" s="29" t="s">
        <v>245</v>
      </c>
      <c r="Q768" s="29" t="s">
        <v>245</v>
      </c>
      <c r="R768" s="39">
        <v>42926</v>
      </c>
      <c r="S768" s="31" t="s">
        <v>246</v>
      </c>
      <c r="T768" s="32">
        <v>2017</v>
      </c>
      <c r="U768" s="40">
        <v>42916</v>
      </c>
      <c r="V768" s="32"/>
    </row>
    <row r="769" spans="1:22" ht="19.5" customHeight="1" x14ac:dyDescent="0.3">
      <c r="A769" s="34">
        <v>2017</v>
      </c>
      <c r="B769" s="35">
        <v>42826</v>
      </c>
      <c r="C769" s="34">
        <v>2000</v>
      </c>
      <c r="D769" s="7" t="s">
        <v>126</v>
      </c>
      <c r="E769" s="6">
        <v>5000</v>
      </c>
      <c r="F769" s="6">
        <v>5000</v>
      </c>
      <c r="G769" s="36">
        <v>4988</v>
      </c>
      <c r="H769" s="34">
        <v>2700</v>
      </c>
      <c r="I769" s="7" t="s">
        <v>126</v>
      </c>
      <c r="J769" s="6">
        <v>0</v>
      </c>
      <c r="K769" s="6">
        <v>0</v>
      </c>
      <c r="L769" s="6">
        <v>0</v>
      </c>
      <c r="M769" s="28">
        <v>159</v>
      </c>
      <c r="N769" s="5" t="s">
        <v>256</v>
      </c>
      <c r="O769" s="29" t="s">
        <v>245</v>
      </c>
      <c r="P769" s="29" t="s">
        <v>245</v>
      </c>
      <c r="Q769" s="29" t="s">
        <v>245</v>
      </c>
      <c r="R769" s="39">
        <v>42926</v>
      </c>
      <c r="S769" s="31" t="s">
        <v>246</v>
      </c>
      <c r="T769" s="32">
        <v>2017</v>
      </c>
      <c r="U769" s="40">
        <v>42916</v>
      </c>
      <c r="V769" s="32"/>
    </row>
    <row r="770" spans="1:22" ht="19.5" customHeight="1" x14ac:dyDescent="0.3">
      <c r="A770" s="34">
        <v>2017</v>
      </c>
      <c r="B770" s="35">
        <v>42826</v>
      </c>
      <c r="C770" s="34">
        <v>2000</v>
      </c>
      <c r="D770" s="12" t="s">
        <v>128</v>
      </c>
      <c r="E770" s="6">
        <v>375338.46</v>
      </c>
      <c r="F770" s="6">
        <v>379081.43</v>
      </c>
      <c r="G770" s="36">
        <v>21038.06</v>
      </c>
      <c r="H770" s="34">
        <v>2900</v>
      </c>
      <c r="I770" s="12" t="s">
        <v>128</v>
      </c>
      <c r="J770" s="6">
        <v>3742.97</v>
      </c>
      <c r="K770" s="6">
        <v>3742.97</v>
      </c>
      <c r="L770" s="6">
        <v>3742.97</v>
      </c>
      <c r="M770" s="37">
        <v>160</v>
      </c>
      <c r="N770" s="5" t="s">
        <v>256</v>
      </c>
      <c r="O770" s="29" t="s">
        <v>245</v>
      </c>
      <c r="P770" s="29" t="s">
        <v>245</v>
      </c>
      <c r="Q770" s="29" t="s">
        <v>245</v>
      </c>
      <c r="R770" s="39">
        <v>42926</v>
      </c>
      <c r="S770" s="31" t="s">
        <v>246</v>
      </c>
      <c r="T770" s="32">
        <v>2017</v>
      </c>
      <c r="U770" s="40">
        <v>42916</v>
      </c>
      <c r="V770" s="32"/>
    </row>
    <row r="771" spans="1:22" ht="19.5" customHeight="1" x14ac:dyDescent="0.3">
      <c r="A771" s="34">
        <v>2017</v>
      </c>
      <c r="B771" s="35">
        <v>42826</v>
      </c>
      <c r="C771" s="34">
        <v>2000</v>
      </c>
      <c r="D771" s="12" t="s">
        <v>129</v>
      </c>
      <c r="E771" s="6">
        <v>41800</v>
      </c>
      <c r="F771" s="6">
        <v>51143.34</v>
      </c>
      <c r="G771" s="36">
        <v>9863.36</v>
      </c>
      <c r="H771" s="34">
        <v>2900</v>
      </c>
      <c r="I771" s="12" t="s">
        <v>129</v>
      </c>
      <c r="J771" s="6">
        <v>9343.34</v>
      </c>
      <c r="K771" s="6">
        <v>9343.34</v>
      </c>
      <c r="L771" s="6">
        <v>9343.34</v>
      </c>
      <c r="M771" s="28">
        <v>161</v>
      </c>
      <c r="N771" s="5" t="s">
        <v>256</v>
      </c>
      <c r="O771" s="29" t="s">
        <v>245</v>
      </c>
      <c r="P771" s="29" t="s">
        <v>245</v>
      </c>
      <c r="Q771" s="29" t="s">
        <v>245</v>
      </c>
      <c r="R771" s="39">
        <v>42926</v>
      </c>
      <c r="S771" s="31" t="s">
        <v>246</v>
      </c>
      <c r="T771" s="32">
        <v>2017</v>
      </c>
      <c r="U771" s="40">
        <v>42916</v>
      </c>
      <c r="V771" s="32"/>
    </row>
    <row r="772" spans="1:22" ht="19.5" customHeight="1" x14ac:dyDescent="0.3">
      <c r="A772" s="34">
        <v>2017</v>
      </c>
      <c r="B772" s="35">
        <v>42826</v>
      </c>
      <c r="C772" s="34">
        <v>2000</v>
      </c>
      <c r="D772" s="12" t="s">
        <v>258</v>
      </c>
      <c r="E772" s="6">
        <v>0</v>
      </c>
      <c r="F772" s="6">
        <v>53273.8</v>
      </c>
      <c r="G772" s="36">
        <v>36339.599999999999</v>
      </c>
      <c r="H772" s="34">
        <v>2900</v>
      </c>
      <c r="I772" s="12" t="s">
        <v>258</v>
      </c>
      <c r="J772" s="6">
        <v>18933.8</v>
      </c>
      <c r="K772" s="6">
        <v>18933.8</v>
      </c>
      <c r="L772" s="6">
        <v>18933.8</v>
      </c>
      <c r="M772" s="37">
        <v>162</v>
      </c>
      <c r="N772" s="5" t="s">
        <v>256</v>
      </c>
      <c r="O772" s="29" t="s">
        <v>245</v>
      </c>
      <c r="P772" s="29" t="s">
        <v>245</v>
      </c>
      <c r="Q772" s="29" t="s">
        <v>245</v>
      </c>
      <c r="R772" s="39">
        <v>42926</v>
      </c>
      <c r="S772" s="31" t="s">
        <v>246</v>
      </c>
      <c r="T772" s="32">
        <v>2017</v>
      </c>
      <c r="U772" s="40">
        <v>42916</v>
      </c>
      <c r="V772" s="32"/>
    </row>
    <row r="773" spans="1:22" ht="19.5" customHeight="1" x14ac:dyDescent="0.3">
      <c r="A773" s="34">
        <v>2017</v>
      </c>
      <c r="B773" s="35">
        <v>42826</v>
      </c>
      <c r="C773" s="34">
        <v>2000</v>
      </c>
      <c r="D773" s="12" t="s">
        <v>131</v>
      </c>
      <c r="E773" s="6">
        <v>1362891.5</v>
      </c>
      <c r="F773" s="6">
        <v>1435790.36</v>
      </c>
      <c r="G773" s="36">
        <v>61560.02</v>
      </c>
      <c r="H773" s="34">
        <v>2900</v>
      </c>
      <c r="I773" s="12" t="s">
        <v>131</v>
      </c>
      <c r="J773" s="6">
        <v>29066.89</v>
      </c>
      <c r="K773" s="6">
        <v>29066.89</v>
      </c>
      <c r="L773" s="6">
        <v>29066.89</v>
      </c>
      <c r="M773" s="28">
        <v>163</v>
      </c>
      <c r="N773" s="5" t="s">
        <v>256</v>
      </c>
      <c r="O773" s="29" t="s">
        <v>245</v>
      </c>
      <c r="P773" s="29" t="s">
        <v>245</v>
      </c>
      <c r="Q773" s="29" t="s">
        <v>245</v>
      </c>
      <c r="R773" s="39">
        <v>42926</v>
      </c>
      <c r="S773" s="31" t="s">
        <v>246</v>
      </c>
      <c r="T773" s="32">
        <v>2017</v>
      </c>
      <c r="U773" s="40">
        <v>42916</v>
      </c>
      <c r="V773" s="32"/>
    </row>
    <row r="774" spans="1:22" ht="19.5" customHeight="1" x14ac:dyDescent="0.3">
      <c r="A774" s="34">
        <v>2017</v>
      </c>
      <c r="B774" s="35">
        <v>42826</v>
      </c>
      <c r="C774" s="34">
        <v>2000</v>
      </c>
      <c r="D774" s="7" t="s">
        <v>132</v>
      </c>
      <c r="E774" s="6">
        <v>0</v>
      </c>
      <c r="F774" s="6">
        <v>2969.8</v>
      </c>
      <c r="G774" s="36">
        <v>2969.8</v>
      </c>
      <c r="H774" s="34">
        <v>2900</v>
      </c>
      <c r="I774" s="7" t="s">
        <v>132</v>
      </c>
      <c r="J774" s="6">
        <v>2969.8</v>
      </c>
      <c r="K774" s="6">
        <v>2969.8</v>
      </c>
      <c r="L774" s="6">
        <v>2969.8</v>
      </c>
      <c r="M774" s="37">
        <v>164</v>
      </c>
      <c r="N774" s="5" t="s">
        <v>256</v>
      </c>
      <c r="O774" s="29" t="s">
        <v>245</v>
      </c>
      <c r="P774" s="29" t="s">
        <v>245</v>
      </c>
      <c r="Q774" s="29" t="s">
        <v>245</v>
      </c>
      <c r="R774" s="39">
        <v>42926</v>
      </c>
      <c r="S774" s="31" t="s">
        <v>246</v>
      </c>
      <c r="T774" s="32">
        <v>2017</v>
      </c>
      <c r="U774" s="40">
        <v>42916</v>
      </c>
      <c r="V774" s="32"/>
    </row>
    <row r="775" spans="1:22" ht="19.5" customHeight="1" x14ac:dyDescent="0.3">
      <c r="A775" s="34">
        <v>2017</v>
      </c>
      <c r="B775" s="35">
        <v>42826</v>
      </c>
      <c r="C775" s="34">
        <v>2000</v>
      </c>
      <c r="D775" s="7" t="s">
        <v>133</v>
      </c>
      <c r="E775" s="6">
        <v>15000</v>
      </c>
      <c r="F775" s="6">
        <v>17666.2</v>
      </c>
      <c r="G775" s="36">
        <v>2666.2</v>
      </c>
      <c r="H775" s="34">
        <v>2900</v>
      </c>
      <c r="I775" s="7" t="s">
        <v>133</v>
      </c>
      <c r="J775" s="6">
        <v>2666.2</v>
      </c>
      <c r="K775" s="6">
        <v>2666.2</v>
      </c>
      <c r="L775" s="6">
        <v>2666.2</v>
      </c>
      <c r="M775" s="28">
        <v>165</v>
      </c>
      <c r="N775" s="5" t="s">
        <v>256</v>
      </c>
      <c r="O775" s="29" t="s">
        <v>245</v>
      </c>
      <c r="P775" s="29" t="s">
        <v>245</v>
      </c>
      <c r="Q775" s="29" t="s">
        <v>245</v>
      </c>
      <c r="R775" s="39">
        <v>42926</v>
      </c>
      <c r="S775" s="31" t="s">
        <v>246</v>
      </c>
      <c r="T775" s="32">
        <v>2017</v>
      </c>
      <c r="U775" s="40">
        <v>42916</v>
      </c>
      <c r="V775" s="32"/>
    </row>
    <row r="776" spans="1:22" ht="19.5" customHeight="1" x14ac:dyDescent="0.3">
      <c r="A776" s="34">
        <v>2017</v>
      </c>
      <c r="B776" s="35">
        <v>42826</v>
      </c>
      <c r="C776" s="34">
        <v>3000</v>
      </c>
      <c r="D776" s="12" t="s">
        <v>135</v>
      </c>
      <c r="E776" s="6">
        <v>9187500</v>
      </c>
      <c r="F776" s="6">
        <v>9187500</v>
      </c>
      <c r="G776" s="36">
        <v>9187500</v>
      </c>
      <c r="H776" s="34">
        <v>3100</v>
      </c>
      <c r="I776" s="12" t="s">
        <v>135</v>
      </c>
      <c r="J776" s="6">
        <v>3213674</v>
      </c>
      <c r="K776" s="6">
        <v>3213674</v>
      </c>
      <c r="L776" s="6">
        <v>3213674</v>
      </c>
      <c r="M776" s="37">
        <v>166</v>
      </c>
      <c r="N776" s="5" t="s">
        <v>259</v>
      </c>
      <c r="O776" s="29" t="s">
        <v>245</v>
      </c>
      <c r="P776" s="29" t="s">
        <v>245</v>
      </c>
      <c r="Q776" s="29" t="s">
        <v>245</v>
      </c>
      <c r="R776" s="39">
        <v>42926</v>
      </c>
      <c r="S776" s="31" t="s">
        <v>246</v>
      </c>
      <c r="T776" s="32">
        <v>2017</v>
      </c>
      <c r="U776" s="40">
        <v>42916</v>
      </c>
      <c r="V776" s="32"/>
    </row>
    <row r="777" spans="1:22" ht="19.5" customHeight="1" x14ac:dyDescent="0.3">
      <c r="A777" s="34">
        <v>2017</v>
      </c>
      <c r="B777" s="35">
        <v>42826</v>
      </c>
      <c r="C777" s="34">
        <v>3000</v>
      </c>
      <c r="D777" s="12" t="s">
        <v>136</v>
      </c>
      <c r="E777" s="6">
        <v>3150000</v>
      </c>
      <c r="F777" s="6">
        <v>3150000</v>
      </c>
      <c r="G777" s="36">
        <v>3150000</v>
      </c>
      <c r="H777" s="34">
        <v>3100</v>
      </c>
      <c r="I777" s="12" t="s">
        <v>136</v>
      </c>
      <c r="J777" s="6">
        <v>1148751</v>
      </c>
      <c r="K777" s="6">
        <v>1148751</v>
      </c>
      <c r="L777" s="6">
        <v>1148751</v>
      </c>
      <c r="M777" s="28">
        <v>167</v>
      </c>
      <c r="N777" s="5" t="s">
        <v>259</v>
      </c>
      <c r="O777" s="29" t="s">
        <v>245</v>
      </c>
      <c r="P777" s="29" t="s">
        <v>245</v>
      </c>
      <c r="Q777" s="29" t="s">
        <v>245</v>
      </c>
      <c r="R777" s="39">
        <v>42926</v>
      </c>
      <c r="S777" s="31" t="s">
        <v>246</v>
      </c>
      <c r="T777" s="32">
        <v>2017</v>
      </c>
      <c r="U777" s="40">
        <v>42916</v>
      </c>
      <c r="V777" s="32"/>
    </row>
    <row r="778" spans="1:22" ht="19.5" customHeight="1" x14ac:dyDescent="0.3">
      <c r="A778" s="34">
        <v>2017</v>
      </c>
      <c r="B778" s="35">
        <v>42826</v>
      </c>
      <c r="C778" s="34">
        <v>3000</v>
      </c>
      <c r="D778" s="12" t="s">
        <v>137</v>
      </c>
      <c r="E778" s="6">
        <v>1113000</v>
      </c>
      <c r="F778" s="6">
        <v>1113000</v>
      </c>
      <c r="G778" s="36">
        <v>1113000</v>
      </c>
      <c r="H778" s="34">
        <v>3100</v>
      </c>
      <c r="I778" s="12" t="s">
        <v>137</v>
      </c>
      <c r="J778" s="6">
        <v>347122.61</v>
      </c>
      <c r="K778" s="6">
        <v>347122.61</v>
      </c>
      <c r="L778" s="6">
        <v>347122.61</v>
      </c>
      <c r="M778" s="37">
        <v>168</v>
      </c>
      <c r="N778" s="5" t="s">
        <v>259</v>
      </c>
      <c r="O778" s="29" t="s">
        <v>245</v>
      </c>
      <c r="P778" s="29" t="s">
        <v>245</v>
      </c>
      <c r="Q778" s="29" t="s">
        <v>245</v>
      </c>
      <c r="R778" s="39">
        <v>42926</v>
      </c>
      <c r="S778" s="31" t="s">
        <v>246</v>
      </c>
      <c r="T778" s="32">
        <v>2017</v>
      </c>
      <c r="U778" s="40">
        <v>42916</v>
      </c>
      <c r="V778" s="32"/>
    </row>
    <row r="779" spans="1:22" ht="19.5" customHeight="1" x14ac:dyDescent="0.3">
      <c r="A779" s="34">
        <v>2017</v>
      </c>
      <c r="B779" s="35">
        <v>42826</v>
      </c>
      <c r="C779" s="34">
        <v>3000</v>
      </c>
      <c r="D779" s="12" t="s">
        <v>138</v>
      </c>
      <c r="E779" s="6">
        <v>250000</v>
      </c>
      <c r="F779" s="6">
        <v>250000</v>
      </c>
      <c r="G779" s="36">
        <v>100000</v>
      </c>
      <c r="H779" s="34">
        <v>3100</v>
      </c>
      <c r="I779" s="12" t="s">
        <v>138</v>
      </c>
      <c r="J779" s="6">
        <v>27500.240000000002</v>
      </c>
      <c r="K779" s="6">
        <v>27500.240000000002</v>
      </c>
      <c r="L779" s="6">
        <v>27500.240000000002</v>
      </c>
      <c r="M779" s="28">
        <v>169</v>
      </c>
      <c r="N779" s="5" t="s">
        <v>259</v>
      </c>
      <c r="O779" s="29" t="s">
        <v>245</v>
      </c>
      <c r="P779" s="29" t="s">
        <v>245</v>
      </c>
      <c r="Q779" s="29" t="s">
        <v>245</v>
      </c>
      <c r="R779" s="39">
        <v>42926</v>
      </c>
      <c r="S779" s="31" t="s">
        <v>246</v>
      </c>
      <c r="T779" s="32">
        <v>2017</v>
      </c>
      <c r="U779" s="40">
        <v>42916</v>
      </c>
      <c r="V779" s="32"/>
    </row>
    <row r="780" spans="1:22" ht="19.5" customHeight="1" x14ac:dyDescent="0.3">
      <c r="A780" s="34">
        <v>2017</v>
      </c>
      <c r="B780" s="35">
        <v>42826</v>
      </c>
      <c r="C780" s="34">
        <v>3000</v>
      </c>
      <c r="D780" s="12" t="s">
        <v>139</v>
      </c>
      <c r="E780" s="6">
        <v>6887777</v>
      </c>
      <c r="F780" s="6">
        <v>6018362.5</v>
      </c>
      <c r="G780" s="36">
        <v>6308275.2399999993</v>
      </c>
      <c r="H780" s="34">
        <v>3100</v>
      </c>
      <c r="I780" s="12" t="s">
        <v>139</v>
      </c>
      <c r="J780" s="6">
        <v>3438608.8</v>
      </c>
      <c r="K780" s="6">
        <v>3438608.8</v>
      </c>
      <c r="L780" s="6">
        <v>3438608.8</v>
      </c>
      <c r="M780" s="37">
        <v>170</v>
      </c>
      <c r="N780" s="5" t="s">
        <v>259</v>
      </c>
      <c r="O780" s="29" t="s">
        <v>245</v>
      </c>
      <c r="P780" s="29" t="s">
        <v>245</v>
      </c>
      <c r="Q780" s="29" t="s">
        <v>245</v>
      </c>
      <c r="R780" s="39">
        <v>42926</v>
      </c>
      <c r="S780" s="31" t="s">
        <v>246</v>
      </c>
      <c r="T780" s="32">
        <v>2017</v>
      </c>
      <c r="U780" s="40">
        <v>42916</v>
      </c>
      <c r="V780" s="32"/>
    </row>
    <row r="781" spans="1:22" ht="19.5" customHeight="1" x14ac:dyDescent="0.3">
      <c r="A781" s="34">
        <v>2017</v>
      </c>
      <c r="B781" s="35">
        <v>42826</v>
      </c>
      <c r="C781" s="34">
        <v>3000</v>
      </c>
      <c r="D781" s="12" t="s">
        <v>140</v>
      </c>
      <c r="E781" s="6">
        <v>56560</v>
      </c>
      <c r="F781" s="6">
        <v>56560</v>
      </c>
      <c r="G781" s="36">
        <v>10398.01</v>
      </c>
      <c r="H781" s="34">
        <v>3100</v>
      </c>
      <c r="I781" s="12" t="s">
        <v>140</v>
      </c>
      <c r="J781" s="6">
        <v>5568</v>
      </c>
      <c r="K781" s="6">
        <v>5568</v>
      </c>
      <c r="L781" s="6">
        <v>5568</v>
      </c>
      <c r="M781" s="28">
        <v>171</v>
      </c>
      <c r="N781" s="5" t="s">
        <v>259</v>
      </c>
      <c r="O781" s="29" t="s">
        <v>245</v>
      </c>
      <c r="P781" s="29" t="s">
        <v>245</v>
      </c>
      <c r="Q781" s="29" t="s">
        <v>245</v>
      </c>
      <c r="R781" s="39">
        <v>42926</v>
      </c>
      <c r="S781" s="31" t="s">
        <v>246</v>
      </c>
      <c r="T781" s="32">
        <v>2017</v>
      </c>
      <c r="U781" s="40">
        <v>42916</v>
      </c>
      <c r="V781" s="32"/>
    </row>
    <row r="782" spans="1:22" ht="19.5" customHeight="1" x14ac:dyDescent="0.3">
      <c r="A782" s="34">
        <v>2017</v>
      </c>
      <c r="B782" s="35">
        <v>42826</v>
      </c>
      <c r="C782" s="34">
        <v>3000</v>
      </c>
      <c r="D782" s="7" t="s">
        <v>141</v>
      </c>
      <c r="E782" s="6">
        <v>1600800</v>
      </c>
      <c r="F782" s="6">
        <v>1825800</v>
      </c>
      <c r="G782" s="36">
        <v>1825800</v>
      </c>
      <c r="H782" s="34">
        <v>3100</v>
      </c>
      <c r="I782" s="7" t="s">
        <v>141</v>
      </c>
      <c r="J782" s="6">
        <v>0</v>
      </c>
      <c r="K782" s="6">
        <v>0</v>
      </c>
      <c r="L782" s="6">
        <v>0</v>
      </c>
      <c r="M782" s="37">
        <v>172</v>
      </c>
      <c r="N782" s="5" t="s">
        <v>259</v>
      </c>
      <c r="O782" s="29" t="s">
        <v>245</v>
      </c>
      <c r="P782" s="29" t="s">
        <v>245</v>
      </c>
      <c r="Q782" s="29" t="s">
        <v>245</v>
      </c>
      <c r="R782" s="39">
        <v>42926</v>
      </c>
      <c r="S782" s="31" t="s">
        <v>246</v>
      </c>
      <c r="T782" s="32">
        <v>2017</v>
      </c>
      <c r="U782" s="40">
        <v>42916</v>
      </c>
      <c r="V782" s="32"/>
    </row>
    <row r="783" spans="1:22" ht="19.5" customHeight="1" x14ac:dyDescent="0.3">
      <c r="A783" s="34">
        <v>2017</v>
      </c>
      <c r="B783" s="35">
        <v>42826</v>
      </c>
      <c r="C783" s="34">
        <v>3000</v>
      </c>
      <c r="D783" s="12" t="s">
        <v>142</v>
      </c>
      <c r="E783" s="6">
        <v>11067495.720000001</v>
      </c>
      <c r="F783" s="6">
        <v>11067495.720000001</v>
      </c>
      <c r="G783" s="36">
        <v>11067495.720000001</v>
      </c>
      <c r="H783" s="34">
        <v>3200</v>
      </c>
      <c r="I783" s="12" t="s">
        <v>142</v>
      </c>
      <c r="J783" s="6">
        <v>0</v>
      </c>
      <c r="K783" s="6">
        <v>0</v>
      </c>
      <c r="L783" s="6">
        <v>0</v>
      </c>
      <c r="M783" s="28">
        <v>173</v>
      </c>
      <c r="N783" s="5" t="s">
        <v>259</v>
      </c>
      <c r="O783" s="29" t="s">
        <v>245</v>
      </c>
      <c r="P783" s="29" t="s">
        <v>245</v>
      </c>
      <c r="Q783" s="29" t="s">
        <v>245</v>
      </c>
      <c r="R783" s="39">
        <v>42926</v>
      </c>
      <c r="S783" s="31" t="s">
        <v>246</v>
      </c>
      <c r="T783" s="32">
        <v>2017</v>
      </c>
      <c r="U783" s="40">
        <v>42916</v>
      </c>
      <c r="V783" s="32"/>
    </row>
    <row r="784" spans="1:22" ht="19.5" customHeight="1" x14ac:dyDescent="0.3">
      <c r="A784" s="34">
        <v>2017</v>
      </c>
      <c r="B784" s="35">
        <v>42826</v>
      </c>
      <c r="C784" s="34">
        <v>3000</v>
      </c>
      <c r="D784" s="12" t="s">
        <v>143</v>
      </c>
      <c r="E784" s="6">
        <v>113000</v>
      </c>
      <c r="F784" s="6">
        <v>113000</v>
      </c>
      <c r="G784" s="36">
        <v>0</v>
      </c>
      <c r="H784" s="34">
        <v>3200</v>
      </c>
      <c r="I784" s="12" t="s">
        <v>143</v>
      </c>
      <c r="J784" s="6">
        <v>0</v>
      </c>
      <c r="K784" s="6">
        <v>0</v>
      </c>
      <c r="L784" s="6">
        <v>0</v>
      </c>
      <c r="M784" s="37">
        <v>174</v>
      </c>
      <c r="N784" s="5" t="s">
        <v>259</v>
      </c>
      <c r="O784" s="29" t="s">
        <v>245</v>
      </c>
      <c r="P784" s="29" t="s">
        <v>245</v>
      </c>
      <c r="Q784" s="29" t="s">
        <v>245</v>
      </c>
      <c r="R784" s="39">
        <v>42926</v>
      </c>
      <c r="S784" s="31" t="s">
        <v>246</v>
      </c>
      <c r="T784" s="32">
        <v>2017</v>
      </c>
      <c r="U784" s="40">
        <v>42916</v>
      </c>
      <c r="V784" s="32"/>
    </row>
    <row r="785" spans="1:22" ht="19.5" customHeight="1" x14ac:dyDescent="0.3">
      <c r="A785" s="34">
        <v>2017</v>
      </c>
      <c r="B785" s="35">
        <v>42826</v>
      </c>
      <c r="C785" s="34">
        <v>3000</v>
      </c>
      <c r="D785" s="12" t="s">
        <v>145</v>
      </c>
      <c r="E785" s="6">
        <v>142645</v>
      </c>
      <c r="F785" s="6">
        <v>182334.5</v>
      </c>
      <c r="G785" s="36">
        <v>91075</v>
      </c>
      <c r="H785" s="34">
        <v>3200</v>
      </c>
      <c r="I785" s="12" t="s">
        <v>145</v>
      </c>
      <c r="J785" s="6">
        <v>78166.55</v>
      </c>
      <c r="K785" s="6">
        <v>78166.55</v>
      </c>
      <c r="L785" s="6">
        <v>78166.55</v>
      </c>
      <c r="M785" s="28">
        <v>175</v>
      </c>
      <c r="N785" s="5" t="s">
        <v>259</v>
      </c>
      <c r="O785" s="29" t="s">
        <v>245</v>
      </c>
      <c r="P785" s="29" t="s">
        <v>245</v>
      </c>
      <c r="Q785" s="29" t="s">
        <v>245</v>
      </c>
      <c r="R785" s="39">
        <v>42926</v>
      </c>
      <c r="S785" s="31" t="s">
        <v>246</v>
      </c>
      <c r="T785" s="32">
        <v>2017</v>
      </c>
      <c r="U785" s="40">
        <v>42916</v>
      </c>
      <c r="V785" s="32"/>
    </row>
    <row r="786" spans="1:22" ht="19.5" customHeight="1" x14ac:dyDescent="0.3">
      <c r="A786" s="34">
        <v>2017</v>
      </c>
      <c r="B786" s="35">
        <v>42826</v>
      </c>
      <c r="C786" s="34">
        <v>3000</v>
      </c>
      <c r="D786" s="12" t="s">
        <v>146</v>
      </c>
      <c r="E786" s="6">
        <v>45000</v>
      </c>
      <c r="F786" s="6">
        <v>45000</v>
      </c>
      <c r="G786" s="36">
        <v>8468</v>
      </c>
      <c r="H786" s="34">
        <v>3200</v>
      </c>
      <c r="I786" s="12" t="s">
        <v>146</v>
      </c>
      <c r="J786" s="6">
        <v>0</v>
      </c>
      <c r="K786" s="6">
        <v>0</v>
      </c>
      <c r="L786" s="6">
        <v>0</v>
      </c>
      <c r="M786" s="37">
        <v>176</v>
      </c>
      <c r="N786" s="5" t="s">
        <v>259</v>
      </c>
      <c r="O786" s="29" t="s">
        <v>245</v>
      </c>
      <c r="P786" s="29" t="s">
        <v>245</v>
      </c>
      <c r="Q786" s="29" t="s">
        <v>245</v>
      </c>
      <c r="R786" s="39">
        <v>42926</v>
      </c>
      <c r="S786" s="31" t="s">
        <v>246</v>
      </c>
      <c r="T786" s="32">
        <v>2017</v>
      </c>
      <c r="U786" s="40">
        <v>42916</v>
      </c>
      <c r="V786" s="32"/>
    </row>
    <row r="787" spans="1:22" ht="19.5" customHeight="1" x14ac:dyDescent="0.3">
      <c r="A787" s="34">
        <v>2017</v>
      </c>
      <c r="B787" s="35">
        <v>42826</v>
      </c>
      <c r="C787" s="34">
        <v>3000</v>
      </c>
      <c r="D787" s="12" t="s">
        <v>147</v>
      </c>
      <c r="E787" s="6">
        <v>1645000</v>
      </c>
      <c r="F787" s="6">
        <v>3170000</v>
      </c>
      <c r="G787" s="36">
        <v>1564999.99</v>
      </c>
      <c r="H787" s="34">
        <v>3300</v>
      </c>
      <c r="I787" s="12" t="s">
        <v>147</v>
      </c>
      <c r="J787" s="6">
        <v>7660.38</v>
      </c>
      <c r="K787" s="6">
        <v>7660.38</v>
      </c>
      <c r="L787" s="6">
        <v>7660.38</v>
      </c>
      <c r="M787" s="28">
        <v>177</v>
      </c>
      <c r="N787" s="5" t="s">
        <v>259</v>
      </c>
      <c r="O787" s="29" t="s">
        <v>245</v>
      </c>
      <c r="P787" s="29" t="s">
        <v>245</v>
      </c>
      <c r="Q787" s="29" t="s">
        <v>245</v>
      </c>
      <c r="R787" s="39">
        <v>42926</v>
      </c>
      <c r="S787" s="31" t="s">
        <v>246</v>
      </c>
      <c r="T787" s="32">
        <v>2017</v>
      </c>
      <c r="U787" s="40">
        <v>42916</v>
      </c>
      <c r="V787" s="32"/>
    </row>
    <row r="788" spans="1:22" ht="19.5" customHeight="1" x14ac:dyDescent="0.3">
      <c r="A788" s="34">
        <v>2017</v>
      </c>
      <c r="B788" s="35">
        <v>42826</v>
      </c>
      <c r="C788" s="34">
        <v>3000</v>
      </c>
      <c r="D788" s="12" t="s">
        <v>148</v>
      </c>
      <c r="E788" s="6">
        <v>1483653</v>
      </c>
      <c r="F788" s="6">
        <v>1483653</v>
      </c>
      <c r="G788" s="36">
        <v>0</v>
      </c>
      <c r="H788" s="34">
        <v>3300</v>
      </c>
      <c r="I788" s="12" t="s">
        <v>148</v>
      </c>
      <c r="J788" s="6">
        <v>0</v>
      </c>
      <c r="K788" s="6">
        <v>0</v>
      </c>
      <c r="L788" s="6">
        <v>0</v>
      </c>
      <c r="M788" s="37">
        <v>178</v>
      </c>
      <c r="N788" s="5" t="s">
        <v>259</v>
      </c>
      <c r="O788" s="29" t="s">
        <v>245</v>
      </c>
      <c r="P788" s="29" t="s">
        <v>245</v>
      </c>
      <c r="Q788" s="29" t="s">
        <v>245</v>
      </c>
      <c r="R788" s="39">
        <v>42926</v>
      </c>
      <c r="S788" s="31" t="s">
        <v>246</v>
      </c>
      <c r="T788" s="32">
        <v>2017</v>
      </c>
      <c r="U788" s="40">
        <v>42916</v>
      </c>
      <c r="V788" s="32"/>
    </row>
    <row r="789" spans="1:22" ht="19.5" customHeight="1" x14ac:dyDescent="0.3">
      <c r="A789" s="34">
        <v>2017</v>
      </c>
      <c r="B789" s="35">
        <v>42826</v>
      </c>
      <c r="C789" s="34">
        <v>3000</v>
      </c>
      <c r="D789" s="12" t="s">
        <v>149</v>
      </c>
      <c r="E789" s="6">
        <v>2639100</v>
      </c>
      <c r="F789" s="6">
        <v>3299162.94</v>
      </c>
      <c r="G789" s="36">
        <v>1749782.6</v>
      </c>
      <c r="H789" s="34">
        <v>3300</v>
      </c>
      <c r="I789" s="12" t="s">
        <v>149</v>
      </c>
      <c r="J789" s="6">
        <v>1100205.45</v>
      </c>
      <c r="K789" s="6">
        <v>1100205.45</v>
      </c>
      <c r="L789" s="6">
        <v>1100205.45</v>
      </c>
      <c r="M789" s="28">
        <v>179</v>
      </c>
      <c r="N789" s="5" t="s">
        <v>259</v>
      </c>
      <c r="O789" s="29" t="s">
        <v>245</v>
      </c>
      <c r="P789" s="29" t="s">
        <v>245</v>
      </c>
      <c r="Q789" s="29" t="s">
        <v>245</v>
      </c>
      <c r="R789" s="39">
        <v>42926</v>
      </c>
      <c r="S789" s="31" t="s">
        <v>246</v>
      </c>
      <c r="T789" s="32">
        <v>2017</v>
      </c>
      <c r="U789" s="40">
        <v>42916</v>
      </c>
      <c r="V789" s="32"/>
    </row>
    <row r="790" spans="1:22" ht="19.5" customHeight="1" x14ac:dyDescent="0.3">
      <c r="A790" s="34">
        <v>2017</v>
      </c>
      <c r="B790" s="35">
        <v>42826</v>
      </c>
      <c r="C790" s="34">
        <v>3000</v>
      </c>
      <c r="D790" s="12" t="s">
        <v>150</v>
      </c>
      <c r="E790" s="6">
        <v>940365</v>
      </c>
      <c r="F790" s="6">
        <v>892707.6</v>
      </c>
      <c r="G790" s="36">
        <v>174199.72</v>
      </c>
      <c r="H790" s="34">
        <v>3300</v>
      </c>
      <c r="I790" s="12" t="s">
        <v>150</v>
      </c>
      <c r="J790" s="6">
        <v>51100</v>
      </c>
      <c r="K790" s="6">
        <v>51100</v>
      </c>
      <c r="L790" s="6">
        <v>51100</v>
      </c>
      <c r="M790" s="37">
        <v>180</v>
      </c>
      <c r="N790" s="5" t="s">
        <v>259</v>
      </c>
      <c r="O790" s="29" t="s">
        <v>245</v>
      </c>
      <c r="P790" s="29" t="s">
        <v>245</v>
      </c>
      <c r="Q790" s="29" t="s">
        <v>245</v>
      </c>
      <c r="R790" s="39">
        <v>42926</v>
      </c>
      <c r="S790" s="31" t="s">
        <v>246</v>
      </c>
      <c r="T790" s="32">
        <v>2017</v>
      </c>
      <c r="U790" s="40">
        <v>42916</v>
      </c>
      <c r="V790" s="32"/>
    </row>
    <row r="791" spans="1:22" ht="19.5" customHeight="1" x14ac:dyDescent="0.3">
      <c r="A791" s="34">
        <v>2017</v>
      </c>
      <c r="B791" s="35">
        <v>42826</v>
      </c>
      <c r="C791" s="34">
        <v>3000</v>
      </c>
      <c r="D791" s="12" t="s">
        <v>151</v>
      </c>
      <c r="E791" s="6">
        <v>975577.63</v>
      </c>
      <c r="F791" s="6">
        <v>967701.96</v>
      </c>
      <c r="G791" s="36">
        <v>119999.97</v>
      </c>
      <c r="H791" s="34">
        <v>3300</v>
      </c>
      <c r="I791" s="12" t="s">
        <v>151</v>
      </c>
      <c r="J791" s="6">
        <v>0</v>
      </c>
      <c r="K791" s="6">
        <v>0</v>
      </c>
      <c r="L791" s="6">
        <v>0</v>
      </c>
      <c r="M791" s="28">
        <v>181</v>
      </c>
      <c r="N791" s="5" t="s">
        <v>259</v>
      </c>
      <c r="O791" s="29" t="s">
        <v>245</v>
      </c>
      <c r="P791" s="29" t="s">
        <v>245</v>
      </c>
      <c r="Q791" s="29" t="s">
        <v>245</v>
      </c>
      <c r="R791" s="39">
        <v>42926</v>
      </c>
      <c r="S791" s="31" t="s">
        <v>246</v>
      </c>
      <c r="T791" s="32">
        <v>2017</v>
      </c>
      <c r="U791" s="40">
        <v>42916</v>
      </c>
      <c r="V791" s="32"/>
    </row>
    <row r="792" spans="1:22" ht="19.5" customHeight="1" x14ac:dyDescent="0.3">
      <c r="A792" s="34">
        <v>2017</v>
      </c>
      <c r="B792" s="35">
        <v>42826</v>
      </c>
      <c r="C792" s="34">
        <v>3000</v>
      </c>
      <c r="D792" s="12" t="s">
        <v>152</v>
      </c>
      <c r="E792" s="6">
        <v>956024.29</v>
      </c>
      <c r="F792" s="6">
        <v>958258.52</v>
      </c>
      <c r="G792" s="36">
        <v>953258.91999999993</v>
      </c>
      <c r="H792" s="34">
        <v>3300</v>
      </c>
      <c r="I792" s="12" t="s">
        <v>152</v>
      </c>
      <c r="J792" s="6">
        <v>143353.78</v>
      </c>
      <c r="K792" s="6">
        <v>143353.78</v>
      </c>
      <c r="L792" s="6">
        <v>143353.78</v>
      </c>
      <c r="M792" s="37">
        <v>182</v>
      </c>
      <c r="N792" s="5" t="s">
        <v>259</v>
      </c>
      <c r="O792" s="29" t="s">
        <v>245</v>
      </c>
      <c r="P792" s="29" t="s">
        <v>245</v>
      </c>
      <c r="Q792" s="29" t="s">
        <v>245</v>
      </c>
      <c r="R792" s="39">
        <v>42926</v>
      </c>
      <c r="S792" s="31" t="s">
        <v>246</v>
      </c>
      <c r="T792" s="32">
        <v>2017</v>
      </c>
      <c r="U792" s="40">
        <v>42916</v>
      </c>
      <c r="V792" s="32"/>
    </row>
    <row r="793" spans="1:22" ht="19.5" customHeight="1" x14ac:dyDescent="0.3">
      <c r="A793" s="34">
        <v>2017</v>
      </c>
      <c r="B793" s="35">
        <v>42826</v>
      </c>
      <c r="C793" s="34">
        <v>3000</v>
      </c>
      <c r="D793" s="12" t="s">
        <v>153</v>
      </c>
      <c r="E793" s="6">
        <v>906088</v>
      </c>
      <c r="F793" s="6">
        <v>906088</v>
      </c>
      <c r="G793" s="36">
        <v>56544.6</v>
      </c>
      <c r="H793" s="34">
        <v>3300</v>
      </c>
      <c r="I793" s="12" t="s">
        <v>153</v>
      </c>
      <c r="J793" s="6">
        <v>0</v>
      </c>
      <c r="K793" s="6">
        <v>0</v>
      </c>
      <c r="L793" s="6">
        <v>0</v>
      </c>
      <c r="M793" s="28">
        <v>183</v>
      </c>
      <c r="N793" s="5" t="s">
        <v>259</v>
      </c>
      <c r="O793" s="29" t="s">
        <v>245</v>
      </c>
      <c r="P793" s="29" t="s">
        <v>245</v>
      </c>
      <c r="Q793" s="29" t="s">
        <v>245</v>
      </c>
      <c r="R793" s="39">
        <v>42926</v>
      </c>
      <c r="S793" s="31" t="s">
        <v>246</v>
      </c>
      <c r="T793" s="32">
        <v>2017</v>
      </c>
      <c r="U793" s="40">
        <v>42916</v>
      </c>
      <c r="V793" s="32"/>
    </row>
    <row r="794" spans="1:22" ht="19.5" customHeight="1" x14ac:dyDescent="0.3">
      <c r="A794" s="34">
        <v>2017</v>
      </c>
      <c r="B794" s="35">
        <v>42826</v>
      </c>
      <c r="C794" s="34">
        <v>3000</v>
      </c>
      <c r="D794" s="12" t="s">
        <v>154</v>
      </c>
      <c r="E794" s="6">
        <v>26138849.039999999</v>
      </c>
      <c r="F794" s="6">
        <v>26138849.039999999</v>
      </c>
      <c r="G794" s="36">
        <v>24338849.039999999</v>
      </c>
      <c r="H794" s="34">
        <v>3300</v>
      </c>
      <c r="I794" s="12" t="s">
        <v>154</v>
      </c>
      <c r="J794" s="6">
        <v>8428331.0600000005</v>
      </c>
      <c r="K794" s="6">
        <v>8428331.0600000005</v>
      </c>
      <c r="L794" s="6">
        <v>8428331.0600000005</v>
      </c>
      <c r="M794" s="37">
        <v>184</v>
      </c>
      <c r="N794" s="5" t="s">
        <v>259</v>
      </c>
      <c r="O794" s="29" t="s">
        <v>245</v>
      </c>
      <c r="P794" s="29" t="s">
        <v>245</v>
      </c>
      <c r="Q794" s="29" t="s">
        <v>245</v>
      </c>
      <c r="R794" s="39">
        <v>42926</v>
      </c>
      <c r="S794" s="31" t="s">
        <v>246</v>
      </c>
      <c r="T794" s="32">
        <v>2017</v>
      </c>
      <c r="U794" s="40">
        <v>42916</v>
      </c>
      <c r="V794" s="32"/>
    </row>
    <row r="795" spans="1:22" ht="19.5" customHeight="1" x14ac:dyDescent="0.3">
      <c r="A795" s="34">
        <v>2017</v>
      </c>
      <c r="B795" s="35">
        <v>42826</v>
      </c>
      <c r="C795" s="34">
        <v>3000</v>
      </c>
      <c r="D795" s="12" t="s">
        <v>155</v>
      </c>
      <c r="E795" s="6">
        <v>6068622.0199999996</v>
      </c>
      <c r="F795" s="6">
        <v>6053622.0199999996</v>
      </c>
      <c r="G795" s="36">
        <v>2297861.96</v>
      </c>
      <c r="H795" s="34">
        <v>3300</v>
      </c>
      <c r="I795" s="12" t="s">
        <v>155</v>
      </c>
      <c r="J795" s="6">
        <v>235480</v>
      </c>
      <c r="K795" s="6">
        <v>235480</v>
      </c>
      <c r="L795" s="6">
        <v>235480</v>
      </c>
      <c r="M795" s="28">
        <v>185</v>
      </c>
      <c r="N795" s="5" t="s">
        <v>259</v>
      </c>
      <c r="O795" s="29" t="s">
        <v>245</v>
      </c>
      <c r="P795" s="29" t="s">
        <v>245</v>
      </c>
      <c r="Q795" s="29" t="s">
        <v>245</v>
      </c>
      <c r="R795" s="39">
        <v>42926</v>
      </c>
      <c r="S795" s="31" t="s">
        <v>246</v>
      </c>
      <c r="T795" s="32">
        <v>2017</v>
      </c>
      <c r="U795" s="40">
        <v>42916</v>
      </c>
      <c r="V795" s="32"/>
    </row>
    <row r="796" spans="1:22" ht="19.5" customHeight="1" x14ac:dyDescent="0.3">
      <c r="A796" s="34">
        <v>2017</v>
      </c>
      <c r="B796" s="35">
        <v>42826</v>
      </c>
      <c r="C796" s="34">
        <v>3000</v>
      </c>
      <c r="D796" s="12" t="s">
        <v>157</v>
      </c>
      <c r="E796" s="6">
        <v>2627929.5</v>
      </c>
      <c r="F796" s="6">
        <v>2627929.5</v>
      </c>
      <c r="G796" s="36">
        <v>2365430</v>
      </c>
      <c r="H796" s="34">
        <v>3400</v>
      </c>
      <c r="I796" s="12" t="s">
        <v>157</v>
      </c>
      <c r="J796" s="6">
        <v>870629.35</v>
      </c>
      <c r="K796" s="6">
        <v>870629.35</v>
      </c>
      <c r="L796" s="6">
        <v>870629.35</v>
      </c>
      <c r="M796" s="37">
        <v>186</v>
      </c>
      <c r="N796" s="5" t="s">
        <v>259</v>
      </c>
      <c r="O796" s="29" t="s">
        <v>245</v>
      </c>
      <c r="P796" s="29" t="s">
        <v>245</v>
      </c>
      <c r="Q796" s="29" t="s">
        <v>245</v>
      </c>
      <c r="R796" s="39">
        <v>42926</v>
      </c>
      <c r="S796" s="31" t="s">
        <v>246</v>
      </c>
      <c r="T796" s="32">
        <v>2017</v>
      </c>
      <c r="U796" s="40">
        <v>42916</v>
      </c>
      <c r="V796" s="32"/>
    </row>
    <row r="797" spans="1:22" ht="19.5" customHeight="1" x14ac:dyDescent="0.3">
      <c r="A797" s="34">
        <v>2017</v>
      </c>
      <c r="B797" s="35">
        <v>42826</v>
      </c>
      <c r="C797" s="34">
        <v>3000</v>
      </c>
      <c r="D797" s="12" t="s">
        <v>159</v>
      </c>
      <c r="E797" s="6">
        <v>330000</v>
      </c>
      <c r="F797" s="6">
        <v>330350</v>
      </c>
      <c r="G797" s="36">
        <v>350</v>
      </c>
      <c r="H797" s="34">
        <v>3400</v>
      </c>
      <c r="I797" s="12" t="s">
        <v>159</v>
      </c>
      <c r="J797" s="6">
        <v>350</v>
      </c>
      <c r="K797" s="6">
        <v>350</v>
      </c>
      <c r="L797" s="6">
        <v>350</v>
      </c>
      <c r="M797" s="28">
        <v>187</v>
      </c>
      <c r="N797" s="5" t="s">
        <v>259</v>
      </c>
      <c r="O797" s="29" t="s">
        <v>245</v>
      </c>
      <c r="P797" s="29" t="s">
        <v>245</v>
      </c>
      <c r="Q797" s="29" t="s">
        <v>245</v>
      </c>
      <c r="R797" s="39">
        <v>42926</v>
      </c>
      <c r="S797" s="31" t="s">
        <v>246</v>
      </c>
      <c r="T797" s="32">
        <v>2017</v>
      </c>
      <c r="U797" s="40">
        <v>42916</v>
      </c>
      <c r="V797" s="32"/>
    </row>
    <row r="798" spans="1:22" ht="19.5" customHeight="1" x14ac:dyDescent="0.3">
      <c r="A798" s="34">
        <v>2017</v>
      </c>
      <c r="B798" s="35">
        <v>42826</v>
      </c>
      <c r="C798" s="34">
        <v>3000</v>
      </c>
      <c r="D798" s="12" t="s">
        <v>260</v>
      </c>
      <c r="E798" s="6">
        <v>33000</v>
      </c>
      <c r="F798" s="6">
        <v>48000</v>
      </c>
      <c r="G798" s="36">
        <v>15000</v>
      </c>
      <c r="H798" s="34">
        <v>3400</v>
      </c>
      <c r="I798" s="12" t="s">
        <v>260</v>
      </c>
      <c r="J798" s="6">
        <v>1423.72</v>
      </c>
      <c r="K798" s="6">
        <v>1423.72</v>
      </c>
      <c r="L798" s="6">
        <v>1423.72</v>
      </c>
      <c r="M798" s="37">
        <v>188</v>
      </c>
      <c r="N798" s="5" t="s">
        <v>259</v>
      </c>
      <c r="O798" s="29" t="s">
        <v>245</v>
      </c>
      <c r="P798" s="29" t="s">
        <v>245</v>
      </c>
      <c r="Q798" s="29" t="s">
        <v>245</v>
      </c>
      <c r="R798" s="39">
        <v>42926</v>
      </c>
      <c r="S798" s="31" t="s">
        <v>246</v>
      </c>
      <c r="T798" s="32">
        <v>2017</v>
      </c>
      <c r="U798" s="40">
        <v>42916</v>
      </c>
      <c r="V798" s="32"/>
    </row>
    <row r="799" spans="1:22" ht="19.5" customHeight="1" x14ac:dyDescent="0.3">
      <c r="A799" s="34">
        <v>2017</v>
      </c>
      <c r="B799" s="35">
        <v>42826</v>
      </c>
      <c r="C799" s="34">
        <v>3000</v>
      </c>
      <c r="D799" s="12" t="s">
        <v>161</v>
      </c>
      <c r="E799" s="6">
        <v>22000</v>
      </c>
      <c r="F799" s="6">
        <v>25688.799999999999</v>
      </c>
      <c r="G799" s="36">
        <v>7400.8</v>
      </c>
      <c r="H799" s="34">
        <v>3500</v>
      </c>
      <c r="I799" s="12" t="s">
        <v>161</v>
      </c>
      <c r="J799" s="6">
        <v>3688.8</v>
      </c>
      <c r="K799" s="6">
        <v>3688.8</v>
      </c>
      <c r="L799" s="6">
        <v>3688.8</v>
      </c>
      <c r="M799" s="28">
        <v>189</v>
      </c>
      <c r="N799" s="5" t="s">
        <v>259</v>
      </c>
      <c r="O799" s="29" t="s">
        <v>245</v>
      </c>
      <c r="P799" s="29" t="s">
        <v>245</v>
      </c>
      <c r="Q799" s="29" t="s">
        <v>245</v>
      </c>
      <c r="R799" s="39">
        <v>42926</v>
      </c>
      <c r="S799" s="31" t="s">
        <v>246</v>
      </c>
      <c r="T799" s="32">
        <v>2017</v>
      </c>
      <c r="U799" s="40">
        <v>42916</v>
      </c>
      <c r="V799" s="32"/>
    </row>
    <row r="800" spans="1:22" ht="19.5" customHeight="1" x14ac:dyDescent="0.3">
      <c r="A800" s="34">
        <v>2017</v>
      </c>
      <c r="B800" s="35">
        <v>42826</v>
      </c>
      <c r="C800" s="34">
        <v>3000</v>
      </c>
      <c r="D800" s="12" t="s">
        <v>162</v>
      </c>
      <c r="E800" s="6">
        <v>4695680</v>
      </c>
      <c r="F800" s="6">
        <v>4695680</v>
      </c>
      <c r="G800" s="36">
        <v>4663200</v>
      </c>
      <c r="H800" s="34">
        <v>3500</v>
      </c>
      <c r="I800" s="12" t="s">
        <v>162</v>
      </c>
      <c r="J800" s="6">
        <v>4646949.63</v>
      </c>
      <c r="K800" s="6">
        <v>4646949.63</v>
      </c>
      <c r="L800" s="6">
        <v>4646949.63</v>
      </c>
      <c r="M800" s="37">
        <v>190</v>
      </c>
      <c r="N800" s="5" t="s">
        <v>259</v>
      </c>
      <c r="O800" s="29" t="s">
        <v>245</v>
      </c>
      <c r="P800" s="29" t="s">
        <v>245</v>
      </c>
      <c r="Q800" s="29" t="s">
        <v>245</v>
      </c>
      <c r="R800" s="39">
        <v>42926</v>
      </c>
      <c r="S800" s="31" t="s">
        <v>246</v>
      </c>
      <c r="T800" s="32">
        <v>2017</v>
      </c>
      <c r="U800" s="40">
        <v>42916</v>
      </c>
      <c r="V800" s="32"/>
    </row>
    <row r="801" spans="1:22" ht="19.5" customHeight="1" x14ac:dyDescent="0.3">
      <c r="A801" s="34">
        <v>2017</v>
      </c>
      <c r="B801" s="35">
        <v>42826</v>
      </c>
      <c r="C801" s="34">
        <v>3000</v>
      </c>
      <c r="D801" s="12" t="s">
        <v>163</v>
      </c>
      <c r="E801" s="6">
        <v>350000</v>
      </c>
      <c r="F801" s="6">
        <v>350000</v>
      </c>
      <c r="G801" s="36">
        <v>0</v>
      </c>
      <c r="H801" s="34">
        <v>3500</v>
      </c>
      <c r="I801" s="12" t="s">
        <v>163</v>
      </c>
      <c r="J801" s="6">
        <v>0</v>
      </c>
      <c r="K801" s="6">
        <v>0</v>
      </c>
      <c r="L801" s="6">
        <v>0</v>
      </c>
      <c r="M801" s="28">
        <v>191</v>
      </c>
      <c r="N801" s="5" t="s">
        <v>259</v>
      </c>
      <c r="O801" s="29" t="s">
        <v>245</v>
      </c>
      <c r="P801" s="29" t="s">
        <v>245</v>
      </c>
      <c r="Q801" s="29" t="s">
        <v>245</v>
      </c>
      <c r="R801" s="39">
        <v>42926</v>
      </c>
      <c r="S801" s="31" t="s">
        <v>246</v>
      </c>
      <c r="T801" s="32">
        <v>2017</v>
      </c>
      <c r="U801" s="40">
        <v>42916</v>
      </c>
      <c r="V801" s="32"/>
    </row>
    <row r="802" spans="1:22" ht="19.5" customHeight="1" x14ac:dyDescent="0.3">
      <c r="A802" s="34">
        <v>2017</v>
      </c>
      <c r="B802" s="35">
        <v>42826</v>
      </c>
      <c r="C802" s="34">
        <v>3000</v>
      </c>
      <c r="D802" s="12" t="s">
        <v>164</v>
      </c>
      <c r="E802" s="6">
        <v>483437.5</v>
      </c>
      <c r="F802" s="6">
        <v>483437.5</v>
      </c>
      <c r="G802" s="36">
        <v>483437.5</v>
      </c>
      <c r="H802" s="34">
        <v>3500</v>
      </c>
      <c r="I802" s="12" t="s">
        <v>164</v>
      </c>
      <c r="J802" s="6">
        <v>151473.60000000001</v>
      </c>
      <c r="K802" s="6">
        <v>151473.60000000001</v>
      </c>
      <c r="L802" s="6">
        <v>151473.60000000001</v>
      </c>
      <c r="M802" s="37">
        <v>192</v>
      </c>
      <c r="N802" s="5" t="s">
        <v>259</v>
      </c>
      <c r="O802" s="29" t="s">
        <v>245</v>
      </c>
      <c r="P802" s="29" t="s">
        <v>245</v>
      </c>
      <c r="Q802" s="29" t="s">
        <v>245</v>
      </c>
      <c r="R802" s="39">
        <v>42926</v>
      </c>
      <c r="S802" s="31" t="s">
        <v>246</v>
      </c>
      <c r="T802" s="32">
        <v>2017</v>
      </c>
      <c r="U802" s="40">
        <v>42916</v>
      </c>
      <c r="V802" s="32"/>
    </row>
    <row r="803" spans="1:22" ht="19.5" customHeight="1" x14ac:dyDescent="0.3">
      <c r="A803" s="34">
        <v>2017</v>
      </c>
      <c r="B803" s="35">
        <v>42826</v>
      </c>
      <c r="C803" s="34">
        <v>3000</v>
      </c>
      <c r="D803" s="12" t="s">
        <v>165</v>
      </c>
      <c r="E803" s="6">
        <v>445000</v>
      </c>
      <c r="F803" s="6">
        <v>445000</v>
      </c>
      <c r="G803" s="36">
        <v>185170.52</v>
      </c>
      <c r="H803" s="34">
        <v>3500</v>
      </c>
      <c r="I803" s="12" t="s">
        <v>165</v>
      </c>
      <c r="J803" s="6">
        <v>92585.26</v>
      </c>
      <c r="K803" s="6">
        <v>92585.26</v>
      </c>
      <c r="L803" s="6">
        <v>92585.26</v>
      </c>
      <c r="M803" s="28">
        <v>193</v>
      </c>
      <c r="N803" s="5" t="s">
        <v>259</v>
      </c>
      <c r="O803" s="29" t="s">
        <v>245</v>
      </c>
      <c r="P803" s="29" t="s">
        <v>245</v>
      </c>
      <c r="Q803" s="29" t="s">
        <v>245</v>
      </c>
      <c r="R803" s="39">
        <v>42926</v>
      </c>
      <c r="S803" s="31" t="s">
        <v>246</v>
      </c>
      <c r="T803" s="32">
        <v>2017</v>
      </c>
      <c r="U803" s="40">
        <v>42916</v>
      </c>
      <c r="V803" s="32"/>
    </row>
    <row r="804" spans="1:22" ht="19.5" customHeight="1" x14ac:dyDescent="0.3">
      <c r="A804" s="34">
        <v>2017</v>
      </c>
      <c r="B804" s="35">
        <v>42826</v>
      </c>
      <c r="C804" s="34">
        <v>3000</v>
      </c>
      <c r="D804" s="12" t="s">
        <v>166</v>
      </c>
      <c r="E804" s="6">
        <v>7896000</v>
      </c>
      <c r="F804" s="6">
        <v>7896812</v>
      </c>
      <c r="G804" s="36">
        <v>3561117.5700000003</v>
      </c>
      <c r="H804" s="34">
        <v>3500</v>
      </c>
      <c r="I804" s="12" t="s">
        <v>166</v>
      </c>
      <c r="J804" s="6">
        <v>164826.72</v>
      </c>
      <c r="K804" s="6">
        <v>164826.72</v>
      </c>
      <c r="L804" s="6">
        <v>164826.72</v>
      </c>
      <c r="M804" s="37">
        <v>194</v>
      </c>
      <c r="N804" s="5" t="s">
        <v>259</v>
      </c>
      <c r="O804" s="29" t="s">
        <v>245</v>
      </c>
      <c r="P804" s="29" t="s">
        <v>245</v>
      </c>
      <c r="Q804" s="29" t="s">
        <v>245</v>
      </c>
      <c r="R804" s="39">
        <v>42926</v>
      </c>
      <c r="S804" s="31" t="s">
        <v>246</v>
      </c>
      <c r="T804" s="32">
        <v>2017</v>
      </c>
      <c r="U804" s="40">
        <v>42916</v>
      </c>
      <c r="V804" s="32"/>
    </row>
    <row r="805" spans="1:22" ht="19.5" customHeight="1" x14ac:dyDescent="0.3">
      <c r="A805" s="34">
        <v>2017</v>
      </c>
      <c r="B805" s="35">
        <v>42826</v>
      </c>
      <c r="C805" s="34">
        <v>3000</v>
      </c>
      <c r="D805" s="12" t="s">
        <v>167</v>
      </c>
      <c r="E805" s="6">
        <v>23000</v>
      </c>
      <c r="F805" s="6">
        <v>24158.84</v>
      </c>
      <c r="G805" s="36">
        <v>23430.84</v>
      </c>
      <c r="H805" s="34">
        <v>3500</v>
      </c>
      <c r="I805" s="12" t="s">
        <v>167</v>
      </c>
      <c r="J805" s="6">
        <v>8582.84</v>
      </c>
      <c r="K805" s="6">
        <v>8582.84</v>
      </c>
      <c r="L805" s="6">
        <v>8582.84</v>
      </c>
      <c r="M805" s="28">
        <v>195</v>
      </c>
      <c r="N805" s="5" t="s">
        <v>259</v>
      </c>
      <c r="O805" s="29" t="s">
        <v>245</v>
      </c>
      <c r="P805" s="29" t="s">
        <v>245</v>
      </c>
      <c r="Q805" s="29" t="s">
        <v>245</v>
      </c>
      <c r="R805" s="39">
        <v>42926</v>
      </c>
      <c r="S805" s="31" t="s">
        <v>246</v>
      </c>
      <c r="T805" s="32">
        <v>2017</v>
      </c>
      <c r="U805" s="40">
        <v>42916</v>
      </c>
      <c r="V805" s="32"/>
    </row>
    <row r="806" spans="1:22" ht="19.5" customHeight="1" x14ac:dyDescent="0.3">
      <c r="A806" s="34">
        <v>2017</v>
      </c>
      <c r="B806" s="35">
        <v>42826</v>
      </c>
      <c r="C806" s="34">
        <v>3000</v>
      </c>
      <c r="D806" s="12" t="s">
        <v>168</v>
      </c>
      <c r="E806" s="6">
        <v>345060.9</v>
      </c>
      <c r="F806" s="6">
        <v>343941.5</v>
      </c>
      <c r="G806" s="36">
        <v>238941.5</v>
      </c>
      <c r="H806" s="34">
        <v>3500</v>
      </c>
      <c r="I806" s="12" t="s">
        <v>168</v>
      </c>
      <c r="J806" s="6">
        <v>50228</v>
      </c>
      <c r="K806" s="6">
        <v>50228</v>
      </c>
      <c r="L806" s="6">
        <v>50228</v>
      </c>
      <c r="M806" s="37">
        <v>196</v>
      </c>
      <c r="N806" s="5" t="s">
        <v>259</v>
      </c>
      <c r="O806" s="29" t="s">
        <v>245</v>
      </c>
      <c r="P806" s="29" t="s">
        <v>245</v>
      </c>
      <c r="Q806" s="29" t="s">
        <v>245</v>
      </c>
      <c r="R806" s="39">
        <v>42926</v>
      </c>
      <c r="S806" s="31" t="s">
        <v>246</v>
      </c>
      <c r="T806" s="32">
        <v>2017</v>
      </c>
      <c r="U806" s="40">
        <v>42916</v>
      </c>
      <c r="V806" s="32"/>
    </row>
    <row r="807" spans="1:22" ht="19.5" customHeight="1" x14ac:dyDescent="0.3">
      <c r="A807" s="34">
        <v>2017</v>
      </c>
      <c r="B807" s="35">
        <v>42826</v>
      </c>
      <c r="C807" s="34">
        <v>3000</v>
      </c>
      <c r="D807" s="12" t="s">
        <v>169</v>
      </c>
      <c r="E807" s="6">
        <v>5685152</v>
      </c>
      <c r="F807" s="6">
        <v>5685152</v>
      </c>
      <c r="G807" s="36">
        <v>4806650.1400000006</v>
      </c>
      <c r="H807" s="34">
        <v>3600</v>
      </c>
      <c r="I807" s="12" t="s">
        <v>169</v>
      </c>
      <c r="J807" s="6">
        <v>1588259.63</v>
      </c>
      <c r="K807" s="6">
        <v>1588259.63</v>
      </c>
      <c r="L807" s="6">
        <v>1588259.63</v>
      </c>
      <c r="M807" s="28">
        <v>197</v>
      </c>
      <c r="N807" s="5" t="s">
        <v>259</v>
      </c>
      <c r="O807" s="29" t="s">
        <v>245</v>
      </c>
      <c r="P807" s="29" t="s">
        <v>245</v>
      </c>
      <c r="Q807" s="29" t="s">
        <v>245</v>
      </c>
      <c r="R807" s="39">
        <v>42926</v>
      </c>
      <c r="S807" s="31" t="s">
        <v>246</v>
      </c>
      <c r="T807" s="32">
        <v>2017</v>
      </c>
      <c r="U807" s="40">
        <v>42916</v>
      </c>
      <c r="V807" s="32"/>
    </row>
    <row r="808" spans="1:22" ht="19.5" customHeight="1" x14ac:dyDescent="0.3">
      <c r="A808" s="34">
        <v>2017</v>
      </c>
      <c r="B808" s="35">
        <v>42826</v>
      </c>
      <c r="C808" s="34">
        <v>3000</v>
      </c>
      <c r="D808" s="12" t="s">
        <v>261</v>
      </c>
      <c r="E808" s="6">
        <v>0</v>
      </c>
      <c r="F808" s="6">
        <v>284.2</v>
      </c>
      <c r="G808" s="36">
        <v>284.2</v>
      </c>
      <c r="H808" s="34">
        <v>3600</v>
      </c>
      <c r="I808" s="12" t="s">
        <v>261</v>
      </c>
      <c r="J808" s="6">
        <v>284.2</v>
      </c>
      <c r="K808" s="6">
        <v>284.2</v>
      </c>
      <c r="L808" s="6">
        <v>284.2</v>
      </c>
      <c r="M808" s="37">
        <v>198</v>
      </c>
      <c r="N808" s="5" t="s">
        <v>259</v>
      </c>
      <c r="O808" s="29" t="s">
        <v>245</v>
      </c>
      <c r="P808" s="29" t="s">
        <v>245</v>
      </c>
      <c r="Q808" s="29" t="s">
        <v>245</v>
      </c>
      <c r="R808" s="39">
        <v>42926</v>
      </c>
      <c r="S808" s="31" t="s">
        <v>246</v>
      </c>
      <c r="T808" s="32">
        <v>2017</v>
      </c>
      <c r="U808" s="40">
        <v>42916</v>
      </c>
      <c r="V808" s="32"/>
    </row>
    <row r="809" spans="1:22" ht="19.5" customHeight="1" x14ac:dyDescent="0.3">
      <c r="A809" s="34">
        <v>2017</v>
      </c>
      <c r="B809" s="35">
        <v>42826</v>
      </c>
      <c r="C809" s="34">
        <v>3000</v>
      </c>
      <c r="D809" s="12" t="s">
        <v>262</v>
      </c>
      <c r="E809" s="6">
        <v>0</v>
      </c>
      <c r="F809" s="6">
        <v>0</v>
      </c>
      <c r="G809" s="36">
        <v>190800</v>
      </c>
      <c r="H809" s="34">
        <v>3600</v>
      </c>
      <c r="I809" s="12" t="s">
        <v>262</v>
      </c>
      <c r="J809" s="6"/>
      <c r="K809" s="6"/>
      <c r="L809" s="6"/>
      <c r="M809" s="28">
        <v>199</v>
      </c>
      <c r="N809" s="5" t="s">
        <v>259</v>
      </c>
      <c r="O809" s="29" t="s">
        <v>245</v>
      </c>
      <c r="P809" s="29" t="s">
        <v>245</v>
      </c>
      <c r="Q809" s="29" t="s">
        <v>245</v>
      </c>
      <c r="R809" s="39">
        <v>42926</v>
      </c>
      <c r="S809" s="31" t="s">
        <v>246</v>
      </c>
      <c r="T809" s="32">
        <v>2017</v>
      </c>
      <c r="U809" s="40">
        <v>42916</v>
      </c>
      <c r="V809" s="32"/>
    </row>
    <row r="810" spans="1:22" ht="19.5" customHeight="1" x14ac:dyDescent="0.3">
      <c r="A810" s="34">
        <v>2017</v>
      </c>
      <c r="B810" s="35">
        <v>42826</v>
      </c>
      <c r="C810" s="34">
        <v>3000</v>
      </c>
      <c r="D810" s="12" t="s">
        <v>173</v>
      </c>
      <c r="E810" s="6">
        <v>487206</v>
      </c>
      <c r="F810" s="6">
        <v>487206</v>
      </c>
      <c r="G810" s="36">
        <v>13637.92</v>
      </c>
      <c r="H810" s="34">
        <v>3700</v>
      </c>
      <c r="I810" s="12" t="s">
        <v>173</v>
      </c>
      <c r="J810" s="6">
        <v>12546</v>
      </c>
      <c r="K810" s="6">
        <v>12546</v>
      </c>
      <c r="L810" s="6">
        <v>12546</v>
      </c>
      <c r="M810" s="37">
        <v>200</v>
      </c>
      <c r="N810" s="5" t="s">
        <v>259</v>
      </c>
      <c r="O810" s="29" t="s">
        <v>245</v>
      </c>
      <c r="P810" s="29" t="s">
        <v>245</v>
      </c>
      <c r="Q810" s="29" t="s">
        <v>245</v>
      </c>
      <c r="R810" s="39">
        <v>42926</v>
      </c>
      <c r="S810" s="31" t="s">
        <v>246</v>
      </c>
      <c r="T810" s="32">
        <v>2017</v>
      </c>
      <c r="U810" s="40">
        <v>42916</v>
      </c>
      <c r="V810" s="32"/>
    </row>
    <row r="811" spans="1:22" ht="19.5" customHeight="1" x14ac:dyDescent="0.3">
      <c r="A811" s="34">
        <v>2017</v>
      </c>
      <c r="B811" s="35">
        <v>42826</v>
      </c>
      <c r="C811" s="34">
        <v>3000</v>
      </c>
      <c r="D811" s="12" t="s">
        <v>174</v>
      </c>
      <c r="E811" s="6">
        <v>998617</v>
      </c>
      <c r="F811" s="6">
        <v>998617</v>
      </c>
      <c r="G811" s="36">
        <v>40000</v>
      </c>
      <c r="H811" s="34">
        <v>3700</v>
      </c>
      <c r="I811" s="12" t="s">
        <v>174</v>
      </c>
      <c r="J811" s="6">
        <v>0</v>
      </c>
      <c r="K811" s="6">
        <v>0</v>
      </c>
      <c r="L811" s="6">
        <v>0</v>
      </c>
      <c r="M811" s="28">
        <v>201</v>
      </c>
      <c r="N811" s="5" t="s">
        <v>259</v>
      </c>
      <c r="O811" s="29" t="s">
        <v>245</v>
      </c>
      <c r="P811" s="29" t="s">
        <v>245</v>
      </c>
      <c r="Q811" s="29" t="s">
        <v>245</v>
      </c>
      <c r="R811" s="39">
        <v>42926</v>
      </c>
      <c r="S811" s="31" t="s">
        <v>246</v>
      </c>
      <c r="T811" s="32">
        <v>2017</v>
      </c>
      <c r="U811" s="40">
        <v>42916</v>
      </c>
      <c r="V811" s="32"/>
    </row>
    <row r="812" spans="1:22" ht="19.5" customHeight="1" x14ac:dyDescent="0.3">
      <c r="A812" s="34">
        <v>2017</v>
      </c>
      <c r="B812" s="35">
        <v>42826</v>
      </c>
      <c r="C812" s="34">
        <v>3000</v>
      </c>
      <c r="D812" s="12" t="s">
        <v>175</v>
      </c>
      <c r="E812" s="6">
        <v>172768</v>
      </c>
      <c r="F812" s="6">
        <v>173176</v>
      </c>
      <c r="G812" s="36">
        <v>1908</v>
      </c>
      <c r="H812" s="34">
        <v>3700</v>
      </c>
      <c r="I812" s="12" t="s">
        <v>175</v>
      </c>
      <c r="J812" s="6">
        <v>408</v>
      </c>
      <c r="K812" s="6">
        <v>408</v>
      </c>
      <c r="L812" s="6">
        <v>408</v>
      </c>
      <c r="M812" s="37">
        <v>202</v>
      </c>
      <c r="N812" s="5" t="s">
        <v>259</v>
      </c>
      <c r="O812" s="29" t="s">
        <v>245</v>
      </c>
      <c r="P812" s="29" t="s">
        <v>245</v>
      </c>
      <c r="Q812" s="29" t="s">
        <v>245</v>
      </c>
      <c r="R812" s="39">
        <v>42926</v>
      </c>
      <c r="S812" s="31" t="s">
        <v>246</v>
      </c>
      <c r="T812" s="32">
        <v>2017</v>
      </c>
      <c r="U812" s="40">
        <v>42916</v>
      </c>
      <c r="V812" s="32"/>
    </row>
    <row r="813" spans="1:22" ht="19.5" customHeight="1" x14ac:dyDescent="0.3">
      <c r="A813" s="34">
        <v>2017</v>
      </c>
      <c r="B813" s="35">
        <v>42826</v>
      </c>
      <c r="C813" s="34">
        <v>3000</v>
      </c>
      <c r="D813" s="12" t="s">
        <v>176</v>
      </c>
      <c r="E813" s="6">
        <v>232600</v>
      </c>
      <c r="F813" s="6">
        <v>274477.53999999998</v>
      </c>
      <c r="G813" s="36">
        <v>41877.54</v>
      </c>
      <c r="H813" s="34">
        <v>3700</v>
      </c>
      <c r="I813" s="12" t="s">
        <v>176</v>
      </c>
      <c r="J813" s="6">
        <v>25526.54</v>
      </c>
      <c r="K813" s="6">
        <v>25526.54</v>
      </c>
      <c r="L813" s="6">
        <v>25526.54</v>
      </c>
      <c r="M813" s="28">
        <v>203</v>
      </c>
      <c r="N813" s="5" t="s">
        <v>259</v>
      </c>
      <c r="O813" s="29" t="s">
        <v>245</v>
      </c>
      <c r="P813" s="29" t="s">
        <v>245</v>
      </c>
      <c r="Q813" s="29" t="s">
        <v>245</v>
      </c>
      <c r="R813" s="39">
        <v>42926</v>
      </c>
      <c r="S813" s="31" t="s">
        <v>246</v>
      </c>
      <c r="T813" s="32">
        <v>2017</v>
      </c>
      <c r="U813" s="40">
        <v>42916</v>
      </c>
      <c r="V813" s="32"/>
    </row>
    <row r="814" spans="1:22" ht="19.5" customHeight="1" x14ac:dyDescent="0.3">
      <c r="A814" s="34">
        <v>2017</v>
      </c>
      <c r="B814" s="35">
        <v>42826</v>
      </c>
      <c r="C814" s="34">
        <v>3000</v>
      </c>
      <c r="D814" s="12" t="s">
        <v>179</v>
      </c>
      <c r="E814" s="6">
        <v>508849</v>
      </c>
      <c r="F814" s="6">
        <v>508849</v>
      </c>
      <c r="G814" s="36">
        <v>72026.8</v>
      </c>
      <c r="H814" s="34">
        <v>3700</v>
      </c>
      <c r="I814" s="12" t="s">
        <v>179</v>
      </c>
      <c r="J814" s="6">
        <v>5203.2700000000004</v>
      </c>
      <c r="K814" s="6">
        <v>5203.2700000000004</v>
      </c>
      <c r="L814" s="6">
        <v>5203.2700000000004</v>
      </c>
      <c r="M814" s="37">
        <v>204</v>
      </c>
      <c r="N814" s="5" t="s">
        <v>259</v>
      </c>
      <c r="O814" s="29" t="s">
        <v>245</v>
      </c>
      <c r="P814" s="29" t="s">
        <v>245</v>
      </c>
      <c r="Q814" s="29" t="s">
        <v>245</v>
      </c>
      <c r="R814" s="39">
        <v>42926</v>
      </c>
      <c r="S814" s="31" t="s">
        <v>246</v>
      </c>
      <c r="T814" s="32">
        <v>2017</v>
      </c>
      <c r="U814" s="40">
        <v>42916</v>
      </c>
      <c r="V814" s="32"/>
    </row>
    <row r="815" spans="1:22" ht="19.5" customHeight="1" x14ac:dyDescent="0.3">
      <c r="A815" s="34">
        <v>2017</v>
      </c>
      <c r="B815" s="35">
        <v>42826</v>
      </c>
      <c r="C815" s="34">
        <v>3000</v>
      </c>
      <c r="D815" s="12" t="s">
        <v>180</v>
      </c>
      <c r="E815" s="6">
        <v>44807</v>
      </c>
      <c r="F815" s="6">
        <v>44807</v>
      </c>
      <c r="G815" s="36">
        <v>0</v>
      </c>
      <c r="H815" s="34">
        <v>3700</v>
      </c>
      <c r="I815" s="12" t="s">
        <v>180</v>
      </c>
      <c r="J815" s="6">
        <v>0</v>
      </c>
      <c r="K815" s="6">
        <v>0</v>
      </c>
      <c r="L815" s="6">
        <v>0</v>
      </c>
      <c r="M815" s="28">
        <v>205</v>
      </c>
      <c r="N815" s="5" t="s">
        <v>259</v>
      </c>
      <c r="O815" s="29" t="s">
        <v>245</v>
      </c>
      <c r="P815" s="29" t="s">
        <v>245</v>
      </c>
      <c r="Q815" s="29" t="s">
        <v>245</v>
      </c>
      <c r="R815" s="39">
        <v>42926</v>
      </c>
      <c r="S815" s="31" t="s">
        <v>246</v>
      </c>
      <c r="T815" s="32">
        <v>2017</v>
      </c>
      <c r="U815" s="40">
        <v>42916</v>
      </c>
      <c r="V815" s="32"/>
    </row>
    <row r="816" spans="1:22" ht="19.5" customHeight="1" x14ac:dyDescent="0.3">
      <c r="A816" s="34">
        <v>2017</v>
      </c>
      <c r="B816" s="35">
        <v>42826</v>
      </c>
      <c r="C816" s="34">
        <v>3000</v>
      </c>
      <c r="D816" s="12" t="s">
        <v>263</v>
      </c>
      <c r="E816" s="6">
        <v>50000</v>
      </c>
      <c r="F816" s="6">
        <v>100000</v>
      </c>
      <c r="G816" s="36">
        <v>46292.7</v>
      </c>
      <c r="H816" s="34">
        <v>3800</v>
      </c>
      <c r="I816" s="12" t="s">
        <v>263</v>
      </c>
      <c r="J816" s="6">
        <v>1740</v>
      </c>
      <c r="K816" s="6">
        <v>1740</v>
      </c>
      <c r="L816" s="6">
        <v>1740</v>
      </c>
      <c r="M816" s="37">
        <v>206</v>
      </c>
      <c r="N816" s="5" t="s">
        <v>259</v>
      </c>
      <c r="O816" s="29" t="s">
        <v>245</v>
      </c>
      <c r="P816" s="29" t="s">
        <v>245</v>
      </c>
      <c r="Q816" s="29" t="s">
        <v>245</v>
      </c>
      <c r="R816" s="39">
        <v>42926</v>
      </c>
      <c r="S816" s="31" t="s">
        <v>246</v>
      </c>
      <c r="T816" s="32">
        <v>2017</v>
      </c>
      <c r="U816" s="40">
        <v>42916</v>
      </c>
      <c r="V816" s="32"/>
    </row>
    <row r="817" spans="1:22" ht="19.5" customHeight="1" x14ac:dyDescent="0.3">
      <c r="A817" s="34">
        <v>2017</v>
      </c>
      <c r="B817" s="35">
        <v>42826</v>
      </c>
      <c r="C817" s="34">
        <v>3000</v>
      </c>
      <c r="D817" s="12" t="s">
        <v>230</v>
      </c>
      <c r="E817" s="6">
        <v>0</v>
      </c>
      <c r="F817" s="6">
        <v>128.55000000000001</v>
      </c>
      <c r="G817" s="36">
        <v>128.55000000000001</v>
      </c>
      <c r="H817" s="34">
        <v>3800</v>
      </c>
      <c r="I817" s="12" t="s">
        <v>230</v>
      </c>
      <c r="J817" s="6">
        <v>128.55000000000001</v>
      </c>
      <c r="K817" s="6">
        <v>128.55000000000001</v>
      </c>
      <c r="L817" s="6">
        <v>128.55000000000001</v>
      </c>
      <c r="M817" s="28">
        <v>207</v>
      </c>
      <c r="N817" s="5" t="s">
        <v>259</v>
      </c>
      <c r="O817" s="29" t="s">
        <v>245</v>
      </c>
      <c r="P817" s="29" t="s">
        <v>245</v>
      </c>
      <c r="Q817" s="29" t="s">
        <v>245</v>
      </c>
      <c r="R817" s="39">
        <v>42926</v>
      </c>
      <c r="S817" s="31" t="s">
        <v>246</v>
      </c>
      <c r="T817" s="32">
        <v>2017</v>
      </c>
      <c r="U817" s="40">
        <v>42916</v>
      </c>
      <c r="V817" s="32"/>
    </row>
    <row r="818" spans="1:22" ht="19.5" customHeight="1" x14ac:dyDescent="0.3">
      <c r="A818" s="34">
        <v>2017</v>
      </c>
      <c r="B818" s="35">
        <v>42826</v>
      </c>
      <c r="C818" s="34">
        <v>3000</v>
      </c>
      <c r="D818" s="12" t="s">
        <v>183</v>
      </c>
      <c r="E818" s="6">
        <v>4991829.54</v>
      </c>
      <c r="F818" s="6">
        <v>5041829.54</v>
      </c>
      <c r="G818" s="36">
        <v>1989357.22</v>
      </c>
      <c r="H818" s="34">
        <v>3800</v>
      </c>
      <c r="I818" s="12" t="s">
        <v>183</v>
      </c>
      <c r="J818" s="6">
        <v>499889.64</v>
      </c>
      <c r="K818" s="6">
        <v>499889.64</v>
      </c>
      <c r="L818" s="6">
        <v>499889.64</v>
      </c>
      <c r="M818" s="37">
        <v>208</v>
      </c>
      <c r="N818" s="5" t="s">
        <v>259</v>
      </c>
      <c r="O818" s="29" t="s">
        <v>245</v>
      </c>
      <c r="P818" s="29" t="s">
        <v>245</v>
      </c>
      <c r="Q818" s="29" t="s">
        <v>245</v>
      </c>
      <c r="R818" s="39">
        <v>42926</v>
      </c>
      <c r="S818" s="31" t="s">
        <v>246</v>
      </c>
      <c r="T818" s="32">
        <v>2017</v>
      </c>
      <c r="U818" s="40">
        <v>42916</v>
      </c>
      <c r="V818" s="32"/>
    </row>
    <row r="819" spans="1:22" ht="19.5" customHeight="1" x14ac:dyDescent="0.3">
      <c r="A819" s="34">
        <v>2017</v>
      </c>
      <c r="B819" s="35">
        <v>42826</v>
      </c>
      <c r="C819" s="34">
        <v>3000</v>
      </c>
      <c r="D819" s="12" t="s">
        <v>184</v>
      </c>
      <c r="E819" s="6">
        <v>1400748</v>
      </c>
      <c r="F819" s="6">
        <v>1420748</v>
      </c>
      <c r="G819" s="36">
        <v>473630.49</v>
      </c>
      <c r="H819" s="34">
        <v>3800</v>
      </c>
      <c r="I819" s="12" t="s">
        <v>184</v>
      </c>
      <c r="J819" s="6">
        <v>67954.59</v>
      </c>
      <c r="K819" s="6">
        <v>67954.59</v>
      </c>
      <c r="L819" s="6">
        <v>67954.59</v>
      </c>
      <c r="M819" s="28">
        <v>209</v>
      </c>
      <c r="N819" s="5" t="s">
        <v>259</v>
      </c>
      <c r="O819" s="29" t="s">
        <v>245</v>
      </c>
      <c r="P819" s="29" t="s">
        <v>245</v>
      </c>
      <c r="Q819" s="29" t="s">
        <v>245</v>
      </c>
      <c r="R819" s="39">
        <v>42926</v>
      </c>
      <c r="S819" s="31" t="s">
        <v>246</v>
      </c>
      <c r="T819" s="32">
        <v>2017</v>
      </c>
      <c r="U819" s="40">
        <v>42916</v>
      </c>
      <c r="V819" s="32"/>
    </row>
    <row r="820" spans="1:22" ht="19.5" customHeight="1" x14ac:dyDescent="0.3">
      <c r="A820" s="34">
        <v>2017</v>
      </c>
      <c r="B820" s="35">
        <v>42826</v>
      </c>
      <c r="C820" s="34">
        <v>3000</v>
      </c>
      <c r="D820" s="12" t="s">
        <v>185</v>
      </c>
      <c r="E820" s="6">
        <v>968401</v>
      </c>
      <c r="F820" s="6">
        <v>968401</v>
      </c>
      <c r="G820" s="36">
        <v>0</v>
      </c>
      <c r="H820" s="34">
        <v>3800</v>
      </c>
      <c r="I820" s="12" t="s">
        <v>185</v>
      </c>
      <c r="J820" s="6">
        <v>0</v>
      </c>
      <c r="K820" s="6">
        <v>0</v>
      </c>
      <c r="L820" s="6">
        <v>0</v>
      </c>
      <c r="M820" s="37">
        <v>210</v>
      </c>
      <c r="N820" s="5" t="s">
        <v>259</v>
      </c>
      <c r="O820" s="29" t="s">
        <v>245</v>
      </c>
      <c r="P820" s="29" t="s">
        <v>245</v>
      </c>
      <c r="Q820" s="29" t="s">
        <v>245</v>
      </c>
      <c r="R820" s="39">
        <v>42926</v>
      </c>
      <c r="S820" s="31" t="s">
        <v>246</v>
      </c>
      <c r="T820" s="32">
        <v>2017</v>
      </c>
      <c r="U820" s="40">
        <v>42916</v>
      </c>
      <c r="V820" s="32"/>
    </row>
    <row r="821" spans="1:22" ht="19.5" customHeight="1" x14ac:dyDescent="0.3">
      <c r="A821" s="34">
        <v>2017</v>
      </c>
      <c r="B821" s="35">
        <v>42826</v>
      </c>
      <c r="C821" s="34">
        <v>3000</v>
      </c>
      <c r="D821" s="7" t="s">
        <v>186</v>
      </c>
      <c r="E821" s="6">
        <v>363371</v>
      </c>
      <c r="F821" s="6">
        <v>365345.2</v>
      </c>
      <c r="G821" s="36">
        <v>234209.2</v>
      </c>
      <c r="H821" s="34">
        <v>3900</v>
      </c>
      <c r="I821" s="7" t="s">
        <v>186</v>
      </c>
      <c r="J821" s="6">
        <v>80174.880000000005</v>
      </c>
      <c r="K821" s="6">
        <v>80174.880000000005</v>
      </c>
      <c r="L821" s="6">
        <v>80174.880000000005</v>
      </c>
      <c r="M821" s="28">
        <v>211</v>
      </c>
      <c r="N821" s="5" t="s">
        <v>259</v>
      </c>
      <c r="O821" s="29" t="s">
        <v>245</v>
      </c>
      <c r="P821" s="29" t="s">
        <v>245</v>
      </c>
      <c r="Q821" s="29" t="s">
        <v>245</v>
      </c>
      <c r="R821" s="39">
        <v>42926</v>
      </c>
      <c r="S821" s="31" t="s">
        <v>246</v>
      </c>
      <c r="T821" s="32">
        <v>2017</v>
      </c>
      <c r="U821" s="40">
        <v>42916</v>
      </c>
      <c r="V821" s="32"/>
    </row>
    <row r="822" spans="1:22" ht="19.5" customHeight="1" x14ac:dyDescent="0.3">
      <c r="A822" s="34">
        <v>2017</v>
      </c>
      <c r="B822" s="35">
        <v>42826</v>
      </c>
      <c r="C822" s="34">
        <v>3000</v>
      </c>
      <c r="D822" s="7" t="s">
        <v>188</v>
      </c>
      <c r="E822" s="6">
        <v>24699325.98</v>
      </c>
      <c r="F822" s="6">
        <v>24699325.98</v>
      </c>
      <c r="G822" s="36">
        <v>11801485</v>
      </c>
      <c r="H822" s="34">
        <v>3900</v>
      </c>
      <c r="I822" s="7" t="s">
        <v>188</v>
      </c>
      <c r="J822" s="6">
        <v>11800419</v>
      </c>
      <c r="K822" s="6">
        <v>11800419</v>
      </c>
      <c r="L822" s="6">
        <v>11800419</v>
      </c>
      <c r="M822" s="37">
        <v>212</v>
      </c>
      <c r="N822" s="5" t="s">
        <v>259</v>
      </c>
      <c r="O822" s="29" t="s">
        <v>245</v>
      </c>
      <c r="P822" s="29" t="s">
        <v>245</v>
      </c>
      <c r="Q822" s="29" t="s">
        <v>245</v>
      </c>
      <c r="R822" s="39">
        <v>42926</v>
      </c>
      <c r="S822" s="31" t="s">
        <v>246</v>
      </c>
      <c r="T822" s="32">
        <v>2017</v>
      </c>
      <c r="U822" s="40">
        <v>42916</v>
      </c>
      <c r="V822" s="32"/>
    </row>
    <row r="823" spans="1:22" ht="19.5" customHeight="1" x14ac:dyDescent="0.3">
      <c r="A823" s="34">
        <v>2017</v>
      </c>
      <c r="B823" s="35">
        <v>42826</v>
      </c>
      <c r="C823" s="34">
        <v>3000</v>
      </c>
      <c r="D823" s="7" t="s">
        <v>250</v>
      </c>
      <c r="E823" s="6">
        <v>131635</v>
      </c>
      <c r="F823" s="6">
        <v>131635</v>
      </c>
      <c r="G823" s="36">
        <v>0</v>
      </c>
      <c r="H823" s="34">
        <v>3900</v>
      </c>
      <c r="I823" s="7" t="s">
        <v>250</v>
      </c>
      <c r="J823" s="6">
        <v>0</v>
      </c>
      <c r="K823" s="6">
        <v>0</v>
      </c>
      <c r="L823" s="6">
        <v>0</v>
      </c>
      <c r="M823" s="28">
        <v>213</v>
      </c>
      <c r="N823" s="5" t="s">
        <v>259</v>
      </c>
      <c r="O823" s="29" t="s">
        <v>245</v>
      </c>
      <c r="P823" s="29" t="s">
        <v>245</v>
      </c>
      <c r="Q823" s="29" t="s">
        <v>245</v>
      </c>
      <c r="R823" s="39">
        <v>42926</v>
      </c>
      <c r="S823" s="31" t="s">
        <v>246</v>
      </c>
      <c r="T823" s="32">
        <v>2017</v>
      </c>
      <c r="U823" s="40">
        <v>42916</v>
      </c>
      <c r="V823" s="32"/>
    </row>
    <row r="824" spans="1:22" ht="19.5" customHeight="1" x14ac:dyDescent="0.3">
      <c r="A824" s="34">
        <v>2017</v>
      </c>
      <c r="B824" s="35">
        <v>42826</v>
      </c>
      <c r="C824" s="34">
        <v>4000</v>
      </c>
      <c r="D824" s="12" t="s">
        <v>192</v>
      </c>
      <c r="E824" s="6">
        <v>34380866.5</v>
      </c>
      <c r="F824" s="6">
        <f>34380866.5+13340925</f>
        <v>47721791.5</v>
      </c>
      <c r="G824" s="36">
        <v>18065237</v>
      </c>
      <c r="H824" s="34">
        <v>4400</v>
      </c>
      <c r="I824" s="12" t="s">
        <v>192</v>
      </c>
      <c r="J824" s="6">
        <v>17817780.600000001</v>
      </c>
      <c r="K824" s="6">
        <v>17817780.600000001</v>
      </c>
      <c r="L824" s="6">
        <v>17817780.600000001</v>
      </c>
      <c r="M824" s="37">
        <v>214</v>
      </c>
      <c r="N824" s="5" t="s">
        <v>264</v>
      </c>
      <c r="O824" s="29" t="s">
        <v>245</v>
      </c>
      <c r="P824" s="29" t="s">
        <v>245</v>
      </c>
      <c r="Q824" s="29" t="s">
        <v>245</v>
      </c>
      <c r="R824" s="39">
        <v>42926</v>
      </c>
      <c r="S824" s="31" t="s">
        <v>246</v>
      </c>
      <c r="T824" s="32">
        <v>2017</v>
      </c>
      <c r="U824" s="40">
        <v>42916</v>
      </c>
      <c r="V824" s="32"/>
    </row>
    <row r="825" spans="1:22" ht="19.5" customHeight="1" x14ac:dyDescent="0.3">
      <c r="A825" s="34">
        <v>2017</v>
      </c>
      <c r="B825" s="35">
        <v>42826</v>
      </c>
      <c r="C825" s="34">
        <v>4000</v>
      </c>
      <c r="D825" s="12" t="s">
        <v>193</v>
      </c>
      <c r="E825" s="6">
        <v>1766000</v>
      </c>
      <c r="F825" s="6">
        <v>1716000</v>
      </c>
      <c r="G825" s="36">
        <v>16350000</v>
      </c>
      <c r="H825" s="34">
        <v>4400</v>
      </c>
      <c r="I825" s="12" t="s">
        <v>193</v>
      </c>
      <c r="J825" s="6">
        <v>305638.68</v>
      </c>
      <c r="K825" s="6">
        <v>305638.68</v>
      </c>
      <c r="L825" s="6">
        <v>305638.68</v>
      </c>
      <c r="M825" s="28">
        <v>215</v>
      </c>
      <c r="N825" s="5" t="s">
        <v>264</v>
      </c>
      <c r="O825" s="29" t="s">
        <v>245</v>
      </c>
      <c r="P825" s="29" t="s">
        <v>245</v>
      </c>
      <c r="Q825" s="29" t="s">
        <v>245</v>
      </c>
      <c r="R825" s="39">
        <v>42926</v>
      </c>
      <c r="S825" s="31" t="s">
        <v>246</v>
      </c>
      <c r="T825" s="32">
        <v>2017</v>
      </c>
      <c r="U825" s="40">
        <v>42916</v>
      </c>
      <c r="V825" s="32"/>
    </row>
    <row r="826" spans="1:22" ht="19.5" customHeight="1" x14ac:dyDescent="0.3">
      <c r="A826" s="34">
        <v>2017</v>
      </c>
      <c r="B826" s="35">
        <v>42826</v>
      </c>
      <c r="C826" s="34">
        <v>5000</v>
      </c>
      <c r="D826" s="12" t="s">
        <v>194</v>
      </c>
      <c r="E826" s="6">
        <v>1353642.15</v>
      </c>
      <c r="F826" s="6">
        <v>1353642.15</v>
      </c>
      <c r="G826" s="36">
        <v>0</v>
      </c>
      <c r="H826" s="34">
        <v>5100</v>
      </c>
      <c r="I826" s="12" t="s">
        <v>194</v>
      </c>
      <c r="J826" s="6">
        <v>0</v>
      </c>
      <c r="K826" s="6">
        <v>0</v>
      </c>
      <c r="L826" s="6">
        <v>0</v>
      </c>
      <c r="M826" s="37">
        <v>216</v>
      </c>
      <c r="N826" s="5" t="s">
        <v>265</v>
      </c>
      <c r="O826" s="29" t="s">
        <v>245</v>
      </c>
      <c r="P826" s="29" t="s">
        <v>245</v>
      </c>
      <c r="Q826" s="29" t="s">
        <v>245</v>
      </c>
      <c r="R826" s="39">
        <v>42926</v>
      </c>
      <c r="S826" s="31" t="s">
        <v>246</v>
      </c>
      <c r="T826" s="32">
        <v>2017</v>
      </c>
      <c r="U826" s="40">
        <v>42916</v>
      </c>
      <c r="V826" s="32"/>
    </row>
    <row r="827" spans="1:22" ht="19.5" customHeight="1" x14ac:dyDescent="0.3">
      <c r="A827" s="34">
        <v>2017</v>
      </c>
      <c r="B827" s="35">
        <v>42826</v>
      </c>
      <c r="C827" s="34">
        <v>5000</v>
      </c>
      <c r="D827" s="12" t="s">
        <v>196</v>
      </c>
      <c r="E827" s="6">
        <v>3043124.16</v>
      </c>
      <c r="F827" s="6">
        <v>3019362.16</v>
      </c>
      <c r="G827" s="36">
        <v>68307.81</v>
      </c>
      <c r="H827" s="34">
        <v>5100</v>
      </c>
      <c r="I827" s="12" t="s">
        <v>196</v>
      </c>
      <c r="J827" s="6">
        <v>0</v>
      </c>
      <c r="K827" s="6">
        <v>0</v>
      </c>
      <c r="L827" s="6">
        <v>0</v>
      </c>
      <c r="M827" s="28">
        <v>217</v>
      </c>
      <c r="N827" s="5" t="s">
        <v>265</v>
      </c>
      <c r="O827" s="29" t="s">
        <v>245</v>
      </c>
      <c r="P827" s="29" t="s">
        <v>245</v>
      </c>
      <c r="Q827" s="29" t="s">
        <v>245</v>
      </c>
      <c r="R827" s="39">
        <v>42926</v>
      </c>
      <c r="S827" s="31" t="s">
        <v>246</v>
      </c>
      <c r="T827" s="32">
        <v>2017</v>
      </c>
      <c r="U827" s="40">
        <v>42916</v>
      </c>
      <c r="V827" s="32"/>
    </row>
    <row r="828" spans="1:22" ht="19.5" customHeight="1" x14ac:dyDescent="0.3">
      <c r="A828" s="34">
        <v>2017</v>
      </c>
      <c r="B828" s="35">
        <v>42826</v>
      </c>
      <c r="C828" s="34">
        <v>5000</v>
      </c>
      <c r="D828" s="12" t="s">
        <v>197</v>
      </c>
      <c r="E828" s="6">
        <v>182524</v>
      </c>
      <c r="F828" s="6">
        <v>182524</v>
      </c>
      <c r="G828" s="36">
        <v>6496</v>
      </c>
      <c r="H828" s="34">
        <v>5100</v>
      </c>
      <c r="I828" s="12" t="s">
        <v>197</v>
      </c>
      <c r="J828" s="6">
        <v>0</v>
      </c>
      <c r="K828" s="6">
        <v>0</v>
      </c>
      <c r="L828" s="6">
        <v>0</v>
      </c>
      <c r="M828" s="37">
        <v>218</v>
      </c>
      <c r="N828" s="5" t="s">
        <v>265</v>
      </c>
      <c r="O828" s="29" t="s">
        <v>245</v>
      </c>
      <c r="P828" s="29" t="s">
        <v>245</v>
      </c>
      <c r="Q828" s="29" t="s">
        <v>245</v>
      </c>
      <c r="R828" s="39">
        <v>42926</v>
      </c>
      <c r="S828" s="31" t="s">
        <v>246</v>
      </c>
      <c r="T828" s="32">
        <v>2017</v>
      </c>
      <c r="U828" s="40">
        <v>42916</v>
      </c>
      <c r="V828" s="32"/>
    </row>
    <row r="829" spans="1:22" ht="19.5" customHeight="1" x14ac:dyDescent="0.3">
      <c r="A829" s="34">
        <v>2017</v>
      </c>
      <c r="B829" s="35">
        <v>42826</v>
      </c>
      <c r="C829" s="34">
        <v>5000</v>
      </c>
      <c r="D829" s="12" t="s">
        <v>198</v>
      </c>
      <c r="E829" s="6">
        <v>887600.86</v>
      </c>
      <c r="F829" s="6">
        <v>897325.87</v>
      </c>
      <c r="G829" s="36">
        <v>358405.96</v>
      </c>
      <c r="H829" s="34">
        <v>5200</v>
      </c>
      <c r="I829" s="12" t="s">
        <v>198</v>
      </c>
      <c r="J829" s="6">
        <v>0</v>
      </c>
      <c r="K829" s="6">
        <v>0</v>
      </c>
      <c r="L829" s="6">
        <v>0</v>
      </c>
      <c r="M829" s="28">
        <v>219</v>
      </c>
      <c r="N829" s="5" t="s">
        <v>265</v>
      </c>
      <c r="O829" s="29" t="s">
        <v>245</v>
      </c>
      <c r="P829" s="29" t="s">
        <v>245</v>
      </c>
      <c r="Q829" s="29" t="s">
        <v>245</v>
      </c>
      <c r="R829" s="39">
        <v>42926</v>
      </c>
      <c r="S829" s="31" t="s">
        <v>246</v>
      </c>
      <c r="T829" s="32">
        <v>2017</v>
      </c>
      <c r="U829" s="40">
        <v>42916</v>
      </c>
      <c r="V829" s="32"/>
    </row>
    <row r="830" spans="1:22" ht="19.5" customHeight="1" x14ac:dyDescent="0.3">
      <c r="A830" s="34">
        <v>2017</v>
      </c>
      <c r="B830" s="35">
        <v>42826</v>
      </c>
      <c r="C830" s="34">
        <v>5000</v>
      </c>
      <c r="D830" s="12" t="s">
        <v>199</v>
      </c>
      <c r="E830" s="6">
        <v>665042</v>
      </c>
      <c r="F830" s="6">
        <v>665042</v>
      </c>
      <c r="G830" s="36">
        <v>0</v>
      </c>
      <c r="H830" s="34">
        <v>5200</v>
      </c>
      <c r="I830" s="12" t="s">
        <v>199</v>
      </c>
      <c r="J830" s="6">
        <v>0</v>
      </c>
      <c r="K830" s="6">
        <v>0</v>
      </c>
      <c r="L830" s="6">
        <v>0</v>
      </c>
      <c r="M830" s="37">
        <v>220</v>
      </c>
      <c r="N830" s="5" t="s">
        <v>265</v>
      </c>
      <c r="O830" s="29" t="s">
        <v>245</v>
      </c>
      <c r="P830" s="29" t="s">
        <v>245</v>
      </c>
      <c r="Q830" s="29" t="s">
        <v>245</v>
      </c>
      <c r="R830" s="39">
        <v>42926</v>
      </c>
      <c r="S830" s="31" t="s">
        <v>246</v>
      </c>
      <c r="T830" s="32">
        <v>2017</v>
      </c>
      <c r="U830" s="40">
        <v>42916</v>
      </c>
      <c r="V830" s="32"/>
    </row>
    <row r="831" spans="1:22" ht="19.5" customHeight="1" x14ac:dyDescent="0.3">
      <c r="A831" s="34">
        <v>2017</v>
      </c>
      <c r="B831" s="35">
        <v>42826</v>
      </c>
      <c r="C831" s="34">
        <v>5000</v>
      </c>
      <c r="D831" s="12" t="s">
        <v>200</v>
      </c>
      <c r="E831" s="6">
        <v>220800</v>
      </c>
      <c r="F831" s="6">
        <v>220800</v>
      </c>
      <c r="G831" s="36">
        <v>0</v>
      </c>
      <c r="H831" s="34">
        <v>5200</v>
      </c>
      <c r="I831" s="12" t="s">
        <v>200</v>
      </c>
      <c r="J831" s="6">
        <v>0</v>
      </c>
      <c r="K831" s="6">
        <v>0</v>
      </c>
      <c r="L831" s="6">
        <v>0</v>
      </c>
      <c r="M831" s="28">
        <v>221</v>
      </c>
      <c r="N831" s="5" t="s">
        <v>265</v>
      </c>
      <c r="O831" s="29" t="s">
        <v>245</v>
      </c>
      <c r="P831" s="29" t="s">
        <v>245</v>
      </c>
      <c r="Q831" s="29" t="s">
        <v>245</v>
      </c>
      <c r="R831" s="39">
        <v>42926</v>
      </c>
      <c r="S831" s="31" t="s">
        <v>246</v>
      </c>
      <c r="T831" s="32">
        <v>2017</v>
      </c>
      <c r="U831" s="40">
        <v>42916</v>
      </c>
      <c r="V831" s="32"/>
    </row>
    <row r="832" spans="1:22" ht="19.5" customHeight="1" x14ac:dyDescent="0.3">
      <c r="A832" s="34">
        <v>2017</v>
      </c>
      <c r="B832" s="35">
        <v>42826</v>
      </c>
      <c r="C832" s="34">
        <v>5000</v>
      </c>
      <c r="D832" s="12" t="s">
        <v>201</v>
      </c>
      <c r="E832" s="6">
        <v>514000</v>
      </c>
      <c r="F832" s="6">
        <v>514000</v>
      </c>
      <c r="G832" s="36">
        <v>0</v>
      </c>
      <c r="H832" s="34">
        <v>5300</v>
      </c>
      <c r="I832" s="12" t="s">
        <v>201</v>
      </c>
      <c r="J832" s="6">
        <v>0</v>
      </c>
      <c r="K832" s="6">
        <v>0</v>
      </c>
      <c r="L832" s="6">
        <v>0</v>
      </c>
      <c r="M832" s="37">
        <v>222</v>
      </c>
      <c r="N832" s="5" t="s">
        <v>265</v>
      </c>
      <c r="O832" s="29" t="s">
        <v>245</v>
      </c>
      <c r="P832" s="29" t="s">
        <v>245</v>
      </c>
      <c r="Q832" s="29" t="s">
        <v>245</v>
      </c>
      <c r="R832" s="39">
        <v>42926</v>
      </c>
      <c r="S832" s="31" t="s">
        <v>246</v>
      </c>
      <c r="T832" s="32">
        <v>2017</v>
      </c>
      <c r="U832" s="40">
        <v>42916</v>
      </c>
      <c r="V832" s="32"/>
    </row>
    <row r="833" spans="1:22" ht="19.5" customHeight="1" x14ac:dyDescent="0.3">
      <c r="A833" s="34">
        <v>2017</v>
      </c>
      <c r="B833" s="35">
        <v>42826</v>
      </c>
      <c r="C833" s="34">
        <v>5000</v>
      </c>
      <c r="D833" s="7" t="s">
        <v>225</v>
      </c>
      <c r="E833" s="6">
        <v>530000</v>
      </c>
      <c r="F833" s="6">
        <v>530000</v>
      </c>
      <c r="G833" s="36">
        <v>0</v>
      </c>
      <c r="H833" s="34">
        <v>5400</v>
      </c>
      <c r="I833" s="7" t="s">
        <v>225</v>
      </c>
      <c r="J833" s="6">
        <v>0</v>
      </c>
      <c r="K833" s="6">
        <v>0</v>
      </c>
      <c r="L833" s="6">
        <v>0</v>
      </c>
      <c r="M833" s="28">
        <v>223</v>
      </c>
      <c r="N833" s="5" t="s">
        <v>265</v>
      </c>
      <c r="O833" s="29" t="s">
        <v>245</v>
      </c>
      <c r="P833" s="29" t="s">
        <v>245</v>
      </c>
      <c r="Q833" s="29" t="s">
        <v>245</v>
      </c>
      <c r="R833" s="39">
        <v>42926</v>
      </c>
      <c r="S833" s="31" t="s">
        <v>246</v>
      </c>
      <c r="T833" s="32">
        <v>2017</v>
      </c>
      <c r="U833" s="40">
        <v>42916</v>
      </c>
      <c r="V833" s="32"/>
    </row>
    <row r="834" spans="1:22" ht="19.5" customHeight="1" x14ac:dyDescent="0.3">
      <c r="A834" s="34">
        <v>2017</v>
      </c>
      <c r="B834" s="35">
        <v>42826</v>
      </c>
      <c r="C834" s="34">
        <v>5000</v>
      </c>
      <c r="D834" s="7" t="s">
        <v>266</v>
      </c>
      <c r="E834" s="6">
        <v>30000</v>
      </c>
      <c r="F834" s="6">
        <v>30000</v>
      </c>
      <c r="G834" s="36">
        <v>0</v>
      </c>
      <c r="H834" s="34">
        <v>5400</v>
      </c>
      <c r="I834" s="7" t="s">
        <v>266</v>
      </c>
      <c r="J834" s="6">
        <v>0</v>
      </c>
      <c r="K834" s="6">
        <v>0</v>
      </c>
      <c r="L834" s="6">
        <v>0</v>
      </c>
      <c r="M834" s="37">
        <v>224</v>
      </c>
      <c r="N834" s="5" t="s">
        <v>265</v>
      </c>
      <c r="O834" s="29" t="s">
        <v>245</v>
      </c>
      <c r="P834" s="29" t="s">
        <v>245</v>
      </c>
      <c r="Q834" s="29" t="s">
        <v>245</v>
      </c>
      <c r="R834" s="39">
        <v>42926</v>
      </c>
      <c r="S834" s="31" t="s">
        <v>246</v>
      </c>
      <c r="T834" s="32">
        <v>2017</v>
      </c>
      <c r="U834" s="40">
        <v>42916</v>
      </c>
      <c r="V834" s="32"/>
    </row>
    <row r="835" spans="1:22" ht="19.5" customHeight="1" x14ac:dyDescent="0.3">
      <c r="A835" s="34">
        <v>2017</v>
      </c>
      <c r="B835" s="35">
        <v>42826</v>
      </c>
      <c r="C835" s="34">
        <v>5000</v>
      </c>
      <c r="D835" s="7" t="s">
        <v>232</v>
      </c>
      <c r="E835" s="6">
        <v>80000</v>
      </c>
      <c r="F835" s="6">
        <v>80000</v>
      </c>
      <c r="G835" s="36">
        <v>0</v>
      </c>
      <c r="H835" s="34">
        <v>5400</v>
      </c>
      <c r="I835" s="7" t="s">
        <v>232</v>
      </c>
      <c r="J835" s="6">
        <v>0</v>
      </c>
      <c r="K835" s="6">
        <v>0</v>
      </c>
      <c r="L835" s="6">
        <v>0</v>
      </c>
      <c r="M835" s="28">
        <v>225</v>
      </c>
      <c r="N835" s="5" t="s">
        <v>265</v>
      </c>
      <c r="O835" s="29" t="s">
        <v>245</v>
      </c>
      <c r="P835" s="29" t="s">
        <v>245</v>
      </c>
      <c r="Q835" s="29" t="s">
        <v>245</v>
      </c>
      <c r="R835" s="39">
        <v>42926</v>
      </c>
      <c r="S835" s="31" t="s">
        <v>246</v>
      </c>
      <c r="T835" s="32">
        <v>2017</v>
      </c>
      <c r="U835" s="40">
        <v>42916</v>
      </c>
      <c r="V835" s="32"/>
    </row>
    <row r="836" spans="1:22" ht="19.5" customHeight="1" x14ac:dyDescent="0.3">
      <c r="A836" s="34">
        <v>2017</v>
      </c>
      <c r="B836" s="35">
        <v>42826</v>
      </c>
      <c r="C836" s="34">
        <v>5000</v>
      </c>
      <c r="D836" s="7" t="s">
        <v>204</v>
      </c>
      <c r="E836" s="6">
        <v>134000</v>
      </c>
      <c r="F836" s="6">
        <v>134000</v>
      </c>
      <c r="G836" s="36">
        <v>0</v>
      </c>
      <c r="H836" s="34">
        <v>5600</v>
      </c>
      <c r="I836" s="7" t="s">
        <v>204</v>
      </c>
      <c r="J836" s="6">
        <v>0</v>
      </c>
      <c r="K836" s="6">
        <v>0</v>
      </c>
      <c r="L836" s="6">
        <v>0</v>
      </c>
      <c r="M836" s="37">
        <v>226</v>
      </c>
      <c r="N836" s="5" t="s">
        <v>265</v>
      </c>
      <c r="O836" s="29" t="s">
        <v>245</v>
      </c>
      <c r="P836" s="29" t="s">
        <v>245</v>
      </c>
      <c r="Q836" s="29" t="s">
        <v>245</v>
      </c>
      <c r="R836" s="39">
        <v>42926</v>
      </c>
      <c r="S836" s="31" t="s">
        <v>246</v>
      </c>
      <c r="T836" s="32">
        <v>2017</v>
      </c>
      <c r="U836" s="40">
        <v>42916</v>
      </c>
      <c r="V836" s="32"/>
    </row>
    <row r="837" spans="1:22" ht="19.5" customHeight="1" x14ac:dyDescent="0.3">
      <c r="A837" s="34">
        <v>2017</v>
      </c>
      <c r="B837" s="35">
        <v>42826</v>
      </c>
      <c r="C837" s="34">
        <v>5000</v>
      </c>
      <c r="D837" s="7" t="s">
        <v>206</v>
      </c>
      <c r="E837" s="6">
        <v>486139</v>
      </c>
      <c r="F837" s="6">
        <v>486139</v>
      </c>
      <c r="G837" s="36">
        <v>0</v>
      </c>
      <c r="H837" s="34">
        <v>5600</v>
      </c>
      <c r="I837" s="7" t="s">
        <v>206</v>
      </c>
      <c r="J837" s="6">
        <v>0</v>
      </c>
      <c r="K837" s="6">
        <v>0</v>
      </c>
      <c r="L837" s="6">
        <v>0</v>
      </c>
      <c r="M837" s="28">
        <v>227</v>
      </c>
      <c r="N837" s="5" t="s">
        <v>265</v>
      </c>
      <c r="O837" s="29" t="s">
        <v>245</v>
      </c>
      <c r="P837" s="29" t="s">
        <v>245</v>
      </c>
      <c r="Q837" s="29" t="s">
        <v>245</v>
      </c>
      <c r="R837" s="39">
        <v>42926</v>
      </c>
      <c r="S837" s="31" t="s">
        <v>246</v>
      </c>
      <c r="T837" s="32">
        <v>2017</v>
      </c>
      <c r="U837" s="40">
        <v>42916</v>
      </c>
      <c r="V837" s="32"/>
    </row>
    <row r="838" spans="1:22" ht="19.5" customHeight="1" x14ac:dyDescent="0.3">
      <c r="A838" s="34">
        <v>2017</v>
      </c>
      <c r="B838" s="35">
        <v>42826</v>
      </c>
      <c r="C838" s="34">
        <v>5000</v>
      </c>
      <c r="D838" s="7" t="s">
        <v>207</v>
      </c>
      <c r="E838" s="6">
        <v>85406.82</v>
      </c>
      <c r="F838" s="6">
        <v>85406.82</v>
      </c>
      <c r="G838" s="36">
        <v>0</v>
      </c>
      <c r="H838" s="34">
        <v>5600</v>
      </c>
      <c r="I838" s="7" t="s">
        <v>207</v>
      </c>
      <c r="J838" s="6">
        <v>0</v>
      </c>
      <c r="K838" s="6">
        <v>0</v>
      </c>
      <c r="L838" s="6">
        <v>0</v>
      </c>
      <c r="M838" s="37">
        <v>228</v>
      </c>
      <c r="N838" s="5" t="s">
        <v>265</v>
      </c>
      <c r="O838" s="29" t="s">
        <v>245</v>
      </c>
      <c r="P838" s="29" t="s">
        <v>245</v>
      </c>
      <c r="Q838" s="29" t="s">
        <v>245</v>
      </c>
      <c r="R838" s="39">
        <v>42926</v>
      </c>
      <c r="S838" s="31" t="s">
        <v>246</v>
      </c>
      <c r="T838" s="32">
        <v>2017</v>
      </c>
      <c r="U838" s="40">
        <v>42916</v>
      </c>
      <c r="V838" s="32"/>
    </row>
    <row r="839" spans="1:22" ht="19.5" customHeight="1" x14ac:dyDescent="0.3">
      <c r="A839" s="34">
        <v>2017</v>
      </c>
      <c r="B839" s="35">
        <v>42826</v>
      </c>
      <c r="C839" s="34">
        <v>5000</v>
      </c>
      <c r="D839" s="7" t="s">
        <v>212</v>
      </c>
      <c r="E839" s="6">
        <v>90736</v>
      </c>
      <c r="F839" s="6">
        <v>90736</v>
      </c>
      <c r="G839" s="36">
        <v>0</v>
      </c>
      <c r="H839" s="34">
        <v>5900</v>
      </c>
      <c r="I839" s="7" t="s">
        <v>212</v>
      </c>
      <c r="J839" s="6">
        <v>0</v>
      </c>
      <c r="K839" s="6">
        <v>0</v>
      </c>
      <c r="L839" s="6">
        <v>0</v>
      </c>
      <c r="M839" s="28">
        <v>229</v>
      </c>
      <c r="N839" s="5" t="s">
        <v>265</v>
      </c>
      <c r="O839" s="29" t="s">
        <v>245</v>
      </c>
      <c r="P839" s="29" t="s">
        <v>245</v>
      </c>
      <c r="Q839" s="29" t="s">
        <v>245</v>
      </c>
      <c r="R839" s="39">
        <v>42926</v>
      </c>
      <c r="S839" s="31" t="s">
        <v>246</v>
      </c>
      <c r="T839" s="32">
        <v>2017</v>
      </c>
      <c r="U839" s="40">
        <v>42916</v>
      </c>
      <c r="V839" s="32"/>
    </row>
    <row r="840" spans="1:22" ht="19.5" customHeight="1" x14ac:dyDescent="0.3">
      <c r="A840" s="34">
        <v>2017</v>
      </c>
      <c r="B840" s="35">
        <v>42826</v>
      </c>
      <c r="C840" s="34">
        <v>5000</v>
      </c>
      <c r="D840" s="7" t="s">
        <v>213</v>
      </c>
      <c r="E840" s="6">
        <v>8000</v>
      </c>
      <c r="F840" s="6">
        <v>6000</v>
      </c>
      <c r="G840" s="36">
        <v>0</v>
      </c>
      <c r="H840" s="34">
        <v>5900</v>
      </c>
      <c r="I840" s="7" t="s">
        <v>213</v>
      </c>
      <c r="J840" s="6">
        <v>0</v>
      </c>
      <c r="K840" s="6">
        <v>0</v>
      </c>
      <c r="L840" s="6">
        <v>0</v>
      </c>
      <c r="M840" s="37">
        <v>230</v>
      </c>
      <c r="N840" s="5" t="s">
        <v>265</v>
      </c>
      <c r="O840" s="29" t="s">
        <v>245</v>
      </c>
      <c r="P840" s="29" t="s">
        <v>245</v>
      </c>
      <c r="Q840" s="29" t="s">
        <v>245</v>
      </c>
      <c r="R840" s="39">
        <v>42926</v>
      </c>
      <c r="S840" s="31" t="s">
        <v>246</v>
      </c>
      <c r="T840" s="32">
        <v>2017</v>
      </c>
      <c r="U840" s="40">
        <v>42916</v>
      </c>
      <c r="V840" s="32"/>
    </row>
    <row r="841" spans="1:22" ht="19.5" customHeight="1" x14ac:dyDescent="0.3">
      <c r="A841" s="34">
        <v>2017</v>
      </c>
      <c r="B841" s="35">
        <v>42826</v>
      </c>
      <c r="C841" s="34">
        <v>6000</v>
      </c>
      <c r="D841" s="7" t="s">
        <v>235</v>
      </c>
      <c r="E841" s="6">
        <v>1415000</v>
      </c>
      <c r="F841" s="6">
        <v>1415000</v>
      </c>
      <c r="G841" s="36">
        <v>0</v>
      </c>
      <c r="H841" s="34">
        <v>6200</v>
      </c>
      <c r="I841" s="7" t="s">
        <v>235</v>
      </c>
      <c r="J841" s="6">
        <v>0</v>
      </c>
      <c r="K841" s="6">
        <v>0</v>
      </c>
      <c r="L841" s="6">
        <v>0</v>
      </c>
      <c r="M841" s="28">
        <v>231</v>
      </c>
      <c r="N841" s="5" t="s">
        <v>265</v>
      </c>
      <c r="O841" s="29" t="s">
        <v>245</v>
      </c>
      <c r="P841" s="29" t="s">
        <v>245</v>
      </c>
      <c r="Q841" s="29" t="s">
        <v>245</v>
      </c>
      <c r="R841" s="39">
        <v>42926</v>
      </c>
      <c r="S841" s="31" t="s">
        <v>246</v>
      </c>
      <c r="T841" s="32">
        <v>2017</v>
      </c>
      <c r="U841" s="40">
        <v>42916</v>
      </c>
      <c r="V841" s="32"/>
    </row>
    <row r="842" spans="1:22" ht="19.5" customHeight="1" x14ac:dyDescent="0.3">
      <c r="A842" s="34">
        <v>2017</v>
      </c>
      <c r="B842" s="35">
        <v>42826</v>
      </c>
      <c r="C842" s="34">
        <v>7000</v>
      </c>
      <c r="D842" s="7" t="s">
        <v>252</v>
      </c>
      <c r="E842" s="6">
        <v>6004111</v>
      </c>
      <c r="F842" s="6">
        <v>8571902.2599999998</v>
      </c>
      <c r="G842" s="36">
        <v>0</v>
      </c>
      <c r="H842" s="34">
        <v>7900</v>
      </c>
      <c r="I842" s="7" t="s">
        <v>252</v>
      </c>
      <c r="J842" s="6">
        <v>0</v>
      </c>
      <c r="K842" s="6">
        <v>0</v>
      </c>
      <c r="L842" s="6">
        <v>0</v>
      </c>
      <c r="M842" s="37">
        <v>232</v>
      </c>
      <c r="N842" s="5" t="s">
        <v>267</v>
      </c>
      <c r="O842" s="29" t="s">
        <v>245</v>
      </c>
      <c r="P842" s="29" t="s">
        <v>245</v>
      </c>
      <c r="Q842" s="29" t="s">
        <v>245</v>
      </c>
      <c r="R842" s="39">
        <v>42926</v>
      </c>
      <c r="S842" s="31" t="s">
        <v>246</v>
      </c>
      <c r="T842" s="32">
        <v>2017</v>
      </c>
      <c r="U842" s="40">
        <v>42916</v>
      </c>
      <c r="V842" s="32"/>
    </row>
    <row r="843" spans="1:22" ht="19.5" customHeight="1" x14ac:dyDescent="0.3">
      <c r="A843" s="34">
        <v>2017</v>
      </c>
      <c r="B843" s="35">
        <v>42917</v>
      </c>
      <c r="C843" s="34">
        <v>1000</v>
      </c>
      <c r="D843" s="7" t="s">
        <v>72</v>
      </c>
      <c r="E843" s="6">
        <v>307975833</v>
      </c>
      <c r="F843" s="6">
        <v>305018783.74000001</v>
      </c>
      <c r="G843" s="36">
        <v>263674839.97000003</v>
      </c>
      <c r="H843" s="34">
        <v>1100</v>
      </c>
      <c r="I843" s="7" t="s">
        <v>72</v>
      </c>
      <c r="J843" s="6">
        <v>249176875.06999999</v>
      </c>
      <c r="K843" s="6">
        <v>249176875.06999999</v>
      </c>
      <c r="L843" s="6">
        <v>249176875.06999999</v>
      </c>
      <c r="M843" s="28">
        <v>233</v>
      </c>
      <c r="N843" s="5" t="s">
        <v>264</v>
      </c>
      <c r="O843" s="29" t="s">
        <v>245</v>
      </c>
      <c r="P843" s="29" t="s">
        <v>245</v>
      </c>
      <c r="Q843" s="29" t="s">
        <v>245</v>
      </c>
      <c r="R843" s="39">
        <v>43018</v>
      </c>
      <c r="S843" s="31" t="s">
        <v>246</v>
      </c>
      <c r="T843" s="32">
        <v>2017</v>
      </c>
      <c r="U843" s="40">
        <v>43008</v>
      </c>
      <c r="V843" s="32"/>
    </row>
    <row r="844" spans="1:22" ht="19.5" customHeight="1" x14ac:dyDescent="0.3">
      <c r="A844" s="34">
        <v>2017</v>
      </c>
      <c r="B844" s="35">
        <v>42917</v>
      </c>
      <c r="C844" s="34">
        <v>1000</v>
      </c>
      <c r="D844" s="7" t="s">
        <v>73</v>
      </c>
      <c r="E844" s="6">
        <v>10086250.17</v>
      </c>
      <c r="F844" s="6">
        <v>10086250.17</v>
      </c>
      <c r="G844" s="36">
        <v>7300720.3000000007</v>
      </c>
      <c r="H844" s="34">
        <v>1200</v>
      </c>
      <c r="I844" s="7" t="s">
        <v>73</v>
      </c>
      <c r="J844" s="6">
        <v>6920489.2599999998</v>
      </c>
      <c r="K844" s="6">
        <v>6920489.2599999998</v>
      </c>
      <c r="L844" s="6">
        <v>6920489.2599999998</v>
      </c>
      <c r="M844" s="37">
        <v>234</v>
      </c>
      <c r="N844" s="5" t="s">
        <v>264</v>
      </c>
      <c r="O844" s="29" t="s">
        <v>245</v>
      </c>
      <c r="P844" s="29" t="s">
        <v>245</v>
      </c>
      <c r="Q844" s="29" t="s">
        <v>245</v>
      </c>
      <c r="R844" s="39">
        <v>43018</v>
      </c>
      <c r="S844" s="31" t="s">
        <v>246</v>
      </c>
      <c r="T844" s="32">
        <v>2017</v>
      </c>
      <c r="U844" s="40">
        <v>43008</v>
      </c>
      <c r="V844" s="32"/>
    </row>
    <row r="845" spans="1:22" ht="19.5" customHeight="1" x14ac:dyDescent="0.3">
      <c r="A845" s="34">
        <v>2017</v>
      </c>
      <c r="B845" s="35">
        <v>42917</v>
      </c>
      <c r="C845" s="34">
        <v>1000</v>
      </c>
      <c r="D845" s="8" t="s">
        <v>75</v>
      </c>
      <c r="E845" s="6">
        <v>26640470.120000001</v>
      </c>
      <c r="F845" s="6">
        <v>26640470.120000001</v>
      </c>
      <c r="G845" s="36">
        <v>14584947.970000001</v>
      </c>
      <c r="H845" s="34">
        <v>1300</v>
      </c>
      <c r="I845" s="8" t="s">
        <v>75</v>
      </c>
      <c r="J845" s="6">
        <v>14584947.970000001</v>
      </c>
      <c r="K845" s="6">
        <v>14584947.970000001</v>
      </c>
      <c r="L845" s="6">
        <v>14584947.970000001</v>
      </c>
      <c r="M845" s="28">
        <v>235</v>
      </c>
      <c r="N845" s="5" t="s">
        <v>264</v>
      </c>
      <c r="O845" s="29" t="s">
        <v>245</v>
      </c>
      <c r="P845" s="29" t="s">
        <v>245</v>
      </c>
      <c r="Q845" s="29" t="s">
        <v>245</v>
      </c>
      <c r="R845" s="39">
        <v>43018</v>
      </c>
      <c r="S845" s="31" t="s">
        <v>246</v>
      </c>
      <c r="T845" s="32">
        <v>2017</v>
      </c>
      <c r="U845" s="40">
        <v>43008</v>
      </c>
      <c r="V845" s="32"/>
    </row>
    <row r="846" spans="1:22" ht="19.5" customHeight="1" x14ac:dyDescent="0.3">
      <c r="A846" s="34">
        <v>2017</v>
      </c>
      <c r="B846" s="35">
        <v>42917</v>
      </c>
      <c r="C846" s="34">
        <v>1000</v>
      </c>
      <c r="D846" s="8" t="s">
        <v>76</v>
      </c>
      <c r="E846" s="6">
        <v>34219537.030000001</v>
      </c>
      <c r="F846" s="6">
        <v>34219537.030000001</v>
      </c>
      <c r="G846" s="36">
        <v>1043790.1900000001</v>
      </c>
      <c r="H846" s="34">
        <v>1300</v>
      </c>
      <c r="I846" s="8" t="s">
        <v>76</v>
      </c>
      <c r="J846" s="6">
        <v>1043790.19</v>
      </c>
      <c r="K846" s="6">
        <v>1043790.19</v>
      </c>
      <c r="L846" s="6">
        <v>1043790.19</v>
      </c>
      <c r="M846" s="37">
        <v>236</v>
      </c>
      <c r="N846" s="5" t="s">
        <v>264</v>
      </c>
      <c r="O846" s="29" t="s">
        <v>245</v>
      </c>
      <c r="P846" s="29" t="s">
        <v>245</v>
      </c>
      <c r="Q846" s="29" t="s">
        <v>245</v>
      </c>
      <c r="R846" s="39">
        <v>43018</v>
      </c>
      <c r="S846" s="31" t="s">
        <v>246</v>
      </c>
      <c r="T846" s="32">
        <v>2017</v>
      </c>
      <c r="U846" s="40">
        <v>43008</v>
      </c>
      <c r="V846" s="32"/>
    </row>
    <row r="847" spans="1:22" ht="19.5" customHeight="1" x14ac:dyDescent="0.3">
      <c r="A847" s="34">
        <v>2017</v>
      </c>
      <c r="B847" s="35">
        <v>42917</v>
      </c>
      <c r="C847" s="34">
        <v>1000</v>
      </c>
      <c r="D847" s="8" t="s">
        <v>77</v>
      </c>
      <c r="E847" s="6">
        <v>0</v>
      </c>
      <c r="F847" s="6">
        <v>1486202.99</v>
      </c>
      <c r="G847" s="36">
        <v>1534971.3</v>
      </c>
      <c r="H847" s="34">
        <v>1300</v>
      </c>
      <c r="I847" s="8" t="s">
        <v>77</v>
      </c>
      <c r="J847" s="6">
        <v>1486202.99</v>
      </c>
      <c r="K847" s="6">
        <v>1486202.99</v>
      </c>
      <c r="L847" s="6">
        <v>1486202.99</v>
      </c>
      <c r="M847" s="28">
        <v>237</v>
      </c>
      <c r="N847" s="5" t="s">
        <v>264</v>
      </c>
      <c r="O847" s="29" t="s">
        <v>245</v>
      </c>
      <c r="P847" s="29" t="s">
        <v>245</v>
      </c>
      <c r="Q847" s="29" t="s">
        <v>245</v>
      </c>
      <c r="R847" s="39">
        <v>43018</v>
      </c>
      <c r="S847" s="31" t="s">
        <v>246</v>
      </c>
      <c r="T847" s="32">
        <v>2017</v>
      </c>
      <c r="U847" s="40">
        <v>43008</v>
      </c>
      <c r="V847" s="32"/>
    </row>
    <row r="848" spans="1:22" ht="19.5" customHeight="1" x14ac:dyDescent="0.3">
      <c r="A848" s="34">
        <v>2017</v>
      </c>
      <c r="B848" s="35">
        <v>42917</v>
      </c>
      <c r="C848" s="34">
        <v>1000</v>
      </c>
      <c r="D848" s="8" t="s">
        <v>78</v>
      </c>
      <c r="E848" s="6">
        <v>0</v>
      </c>
      <c r="F848" s="6">
        <v>97931.5</v>
      </c>
      <c r="G848" s="36">
        <v>97931.5</v>
      </c>
      <c r="H848" s="34">
        <v>1300</v>
      </c>
      <c r="I848" s="8" t="s">
        <v>78</v>
      </c>
      <c r="J848" s="6">
        <v>97931.5</v>
      </c>
      <c r="K848" s="6">
        <v>97931.5</v>
      </c>
      <c r="L848" s="6">
        <v>97931.5</v>
      </c>
      <c r="M848" s="37">
        <v>238</v>
      </c>
      <c r="N848" s="5" t="s">
        <v>264</v>
      </c>
      <c r="O848" s="29" t="s">
        <v>245</v>
      </c>
      <c r="P848" s="29" t="s">
        <v>245</v>
      </c>
      <c r="Q848" s="29" t="s">
        <v>245</v>
      </c>
      <c r="R848" s="39">
        <v>43018</v>
      </c>
      <c r="S848" s="31" t="s">
        <v>246</v>
      </c>
      <c r="T848" s="32">
        <v>2017</v>
      </c>
      <c r="U848" s="40">
        <v>43008</v>
      </c>
      <c r="V848" s="32"/>
    </row>
    <row r="849" spans="1:22" ht="19.5" customHeight="1" x14ac:dyDescent="0.3">
      <c r="A849" s="34">
        <v>2017</v>
      </c>
      <c r="B849" s="35">
        <v>42917</v>
      </c>
      <c r="C849" s="34">
        <v>1000</v>
      </c>
      <c r="D849" s="8" t="s">
        <v>79</v>
      </c>
      <c r="E849" s="6">
        <v>30705190.559999999</v>
      </c>
      <c r="F849" s="6">
        <v>30705190.559999999</v>
      </c>
      <c r="G849" s="36">
        <v>26289418.68</v>
      </c>
      <c r="H849" s="34">
        <v>1400</v>
      </c>
      <c r="I849" s="8" t="s">
        <v>79</v>
      </c>
      <c r="J849" s="6">
        <v>24844983.280000001</v>
      </c>
      <c r="K849" s="6">
        <v>24844983.280000001</v>
      </c>
      <c r="L849" s="6">
        <v>24844983.280000001</v>
      </c>
      <c r="M849" s="28">
        <v>239</v>
      </c>
      <c r="N849" s="5" t="s">
        <v>264</v>
      </c>
      <c r="O849" s="29" t="s">
        <v>245</v>
      </c>
      <c r="P849" s="29" t="s">
        <v>245</v>
      </c>
      <c r="Q849" s="29" t="s">
        <v>245</v>
      </c>
      <c r="R849" s="39">
        <v>43018</v>
      </c>
      <c r="S849" s="31" t="s">
        <v>246</v>
      </c>
      <c r="T849" s="32">
        <v>2017</v>
      </c>
      <c r="U849" s="40">
        <v>43008</v>
      </c>
      <c r="V849" s="32"/>
    </row>
    <row r="850" spans="1:22" ht="19.5" customHeight="1" x14ac:dyDescent="0.3">
      <c r="A850" s="34">
        <v>2017</v>
      </c>
      <c r="B850" s="35">
        <v>42917</v>
      </c>
      <c r="C850" s="34">
        <v>1000</v>
      </c>
      <c r="D850" s="8" t="s">
        <v>80</v>
      </c>
      <c r="E850" s="6">
        <v>15398791.65</v>
      </c>
      <c r="F850" s="6">
        <v>15398791.65</v>
      </c>
      <c r="G850" s="36">
        <v>11004895</v>
      </c>
      <c r="H850" s="34">
        <v>1400</v>
      </c>
      <c r="I850" s="8" t="s">
        <v>80</v>
      </c>
      <c r="J850" s="6">
        <v>11004895</v>
      </c>
      <c r="K850" s="6">
        <v>11004895</v>
      </c>
      <c r="L850" s="6">
        <v>11004895</v>
      </c>
      <c r="M850" s="37">
        <v>240</v>
      </c>
      <c r="N850" s="5" t="s">
        <v>264</v>
      </c>
      <c r="O850" s="29" t="s">
        <v>245</v>
      </c>
      <c r="P850" s="29" t="s">
        <v>245</v>
      </c>
      <c r="Q850" s="29" t="s">
        <v>245</v>
      </c>
      <c r="R850" s="39">
        <v>43018</v>
      </c>
      <c r="S850" s="31" t="s">
        <v>246</v>
      </c>
      <c r="T850" s="32">
        <v>2017</v>
      </c>
      <c r="U850" s="40">
        <v>43008</v>
      </c>
      <c r="V850" s="32"/>
    </row>
    <row r="851" spans="1:22" ht="19.5" customHeight="1" x14ac:dyDescent="0.3">
      <c r="A851" s="34">
        <v>2017</v>
      </c>
      <c r="B851" s="35">
        <v>42917</v>
      </c>
      <c r="C851" s="34">
        <v>1000</v>
      </c>
      <c r="D851" s="8" t="s">
        <v>81</v>
      </c>
      <c r="E851" s="6">
        <v>15937749.35</v>
      </c>
      <c r="F851" s="6">
        <v>15937749.35</v>
      </c>
      <c r="G851" s="36">
        <v>12706630.039999999</v>
      </c>
      <c r="H851" s="34">
        <v>1400</v>
      </c>
      <c r="I851" s="8" t="s">
        <v>81</v>
      </c>
      <c r="J851" s="6">
        <v>12706630.039999999</v>
      </c>
      <c r="K851" s="6">
        <v>12706630.039999999</v>
      </c>
      <c r="L851" s="6">
        <v>12706630.039999999</v>
      </c>
      <c r="M851" s="28">
        <v>241</v>
      </c>
      <c r="N851" s="5" t="s">
        <v>264</v>
      </c>
      <c r="O851" s="29" t="s">
        <v>245</v>
      </c>
      <c r="P851" s="29" t="s">
        <v>245</v>
      </c>
      <c r="Q851" s="29" t="s">
        <v>245</v>
      </c>
      <c r="R851" s="39">
        <v>43018</v>
      </c>
      <c r="S851" s="31" t="s">
        <v>246</v>
      </c>
      <c r="T851" s="32">
        <v>2017</v>
      </c>
      <c r="U851" s="40">
        <v>43008</v>
      </c>
      <c r="V851" s="32"/>
    </row>
    <row r="852" spans="1:22" ht="19.5" customHeight="1" x14ac:dyDescent="0.3">
      <c r="A852" s="34">
        <v>2017</v>
      </c>
      <c r="B852" s="35">
        <v>42917</v>
      </c>
      <c r="C852" s="34">
        <v>1000</v>
      </c>
      <c r="D852" s="8" t="s">
        <v>82</v>
      </c>
      <c r="E852" s="6">
        <v>13700813.199999999</v>
      </c>
      <c r="F852" s="6">
        <v>13700813.210000001</v>
      </c>
      <c r="G852" s="36">
        <v>9236984.0299999993</v>
      </c>
      <c r="H852" s="34">
        <v>1400</v>
      </c>
      <c r="I852" s="8" t="s">
        <v>82</v>
      </c>
      <c r="J852" s="6">
        <v>9236984.0299999993</v>
      </c>
      <c r="K852" s="6">
        <v>9236984.0299999993</v>
      </c>
      <c r="L852" s="6">
        <v>9236984.0299999993</v>
      </c>
      <c r="M852" s="37">
        <v>242</v>
      </c>
      <c r="N852" s="5" t="s">
        <v>264</v>
      </c>
      <c r="O852" s="29" t="s">
        <v>245</v>
      </c>
      <c r="P852" s="29" t="s">
        <v>245</v>
      </c>
      <c r="Q852" s="29" t="s">
        <v>245</v>
      </c>
      <c r="R852" s="39">
        <v>43018</v>
      </c>
      <c r="S852" s="31" t="s">
        <v>246</v>
      </c>
      <c r="T852" s="32">
        <v>2017</v>
      </c>
      <c r="U852" s="40">
        <v>43008</v>
      </c>
      <c r="V852" s="32"/>
    </row>
    <row r="853" spans="1:22" ht="19.5" customHeight="1" x14ac:dyDescent="0.3">
      <c r="A853" s="34">
        <v>2017</v>
      </c>
      <c r="B853" s="35">
        <v>42917</v>
      </c>
      <c r="C853" s="34">
        <v>1000</v>
      </c>
      <c r="D853" s="8" t="s">
        <v>83</v>
      </c>
      <c r="E853" s="6">
        <v>901623.8</v>
      </c>
      <c r="F853" s="6">
        <v>917182.54</v>
      </c>
      <c r="G853" s="36">
        <v>808040.8</v>
      </c>
      <c r="H853" s="34">
        <v>1400</v>
      </c>
      <c r="I853" s="8" t="s">
        <v>83</v>
      </c>
      <c r="J853" s="6">
        <v>808040.8</v>
      </c>
      <c r="K853" s="6">
        <v>808040.8</v>
      </c>
      <c r="L853" s="6">
        <v>808040.8</v>
      </c>
      <c r="M853" s="28">
        <v>243</v>
      </c>
      <c r="N853" s="5" t="s">
        <v>264</v>
      </c>
      <c r="O853" s="29" t="s">
        <v>245</v>
      </c>
      <c r="P853" s="29" t="s">
        <v>245</v>
      </c>
      <c r="Q853" s="29" t="s">
        <v>245</v>
      </c>
      <c r="R853" s="39">
        <v>43018</v>
      </c>
      <c r="S853" s="31" t="s">
        <v>246</v>
      </c>
      <c r="T853" s="32">
        <v>2017</v>
      </c>
      <c r="U853" s="40">
        <v>43008</v>
      </c>
      <c r="V853" s="32"/>
    </row>
    <row r="854" spans="1:22" ht="19.5" customHeight="1" x14ac:dyDescent="0.3">
      <c r="A854" s="34">
        <v>2017</v>
      </c>
      <c r="B854" s="35">
        <v>42917</v>
      </c>
      <c r="C854" s="34">
        <v>1000</v>
      </c>
      <c r="D854" s="8" t="s">
        <v>254</v>
      </c>
      <c r="E854" s="6">
        <v>0</v>
      </c>
      <c r="F854" s="6">
        <v>10500000</v>
      </c>
      <c r="G854" s="36">
        <v>10167000</v>
      </c>
      <c r="H854" s="34">
        <v>1400</v>
      </c>
      <c r="I854" s="8" t="s">
        <v>254</v>
      </c>
      <c r="J854" s="6">
        <v>10167000</v>
      </c>
      <c r="K854" s="6">
        <v>10167000</v>
      </c>
      <c r="L854" s="6">
        <v>10167000</v>
      </c>
      <c r="M854" s="37">
        <v>244</v>
      </c>
      <c r="N854" s="5" t="s">
        <v>264</v>
      </c>
      <c r="O854" s="29" t="s">
        <v>245</v>
      </c>
      <c r="P854" s="29" t="s">
        <v>245</v>
      </c>
      <c r="Q854" s="29" t="s">
        <v>245</v>
      </c>
      <c r="R854" s="39">
        <v>43018</v>
      </c>
      <c r="S854" s="31" t="s">
        <v>246</v>
      </c>
      <c r="T854" s="32">
        <v>2017</v>
      </c>
      <c r="U854" s="40">
        <v>43008</v>
      </c>
      <c r="V854" s="32"/>
    </row>
    <row r="855" spans="1:22" ht="19.5" customHeight="1" x14ac:dyDescent="0.3">
      <c r="A855" s="34">
        <v>2017</v>
      </c>
      <c r="B855" s="35">
        <v>42917</v>
      </c>
      <c r="C855" s="34">
        <v>1000</v>
      </c>
      <c r="D855" s="8" t="s">
        <v>84</v>
      </c>
      <c r="E855" s="6">
        <v>0</v>
      </c>
      <c r="F855" s="6">
        <v>3506398.73</v>
      </c>
      <c r="G855" s="36">
        <v>3506398.73</v>
      </c>
      <c r="H855" s="34">
        <v>1500</v>
      </c>
      <c r="I855" s="8" t="s">
        <v>84</v>
      </c>
      <c r="J855" s="6">
        <v>3506398.73</v>
      </c>
      <c r="K855" s="6">
        <v>3506398.73</v>
      </c>
      <c r="L855" s="6">
        <v>3506398.73</v>
      </c>
      <c r="M855" s="28">
        <v>245</v>
      </c>
      <c r="N855" s="5" t="s">
        <v>264</v>
      </c>
      <c r="O855" s="29" t="s">
        <v>245</v>
      </c>
      <c r="P855" s="29" t="s">
        <v>245</v>
      </c>
      <c r="Q855" s="29" t="s">
        <v>245</v>
      </c>
      <c r="R855" s="39">
        <v>43018</v>
      </c>
      <c r="S855" s="31" t="s">
        <v>246</v>
      </c>
      <c r="T855" s="32">
        <v>2017</v>
      </c>
      <c r="U855" s="40">
        <v>43008</v>
      </c>
      <c r="V855" s="32"/>
    </row>
    <row r="856" spans="1:22" ht="19.5" customHeight="1" x14ac:dyDescent="0.3">
      <c r="A856" s="34">
        <v>2017</v>
      </c>
      <c r="B856" s="35">
        <v>42917</v>
      </c>
      <c r="C856" s="34">
        <v>1000</v>
      </c>
      <c r="D856" s="8" t="s">
        <v>85</v>
      </c>
      <c r="E856" s="6">
        <v>5995394.5300000003</v>
      </c>
      <c r="F856" s="6">
        <v>5995394.5300000003</v>
      </c>
      <c r="G856" s="36">
        <v>3348257.66</v>
      </c>
      <c r="H856" s="34">
        <v>1500</v>
      </c>
      <c r="I856" s="8" t="s">
        <v>85</v>
      </c>
      <c r="J856" s="6">
        <v>3348257.66</v>
      </c>
      <c r="K856" s="6">
        <v>3348257.66</v>
      </c>
      <c r="L856" s="6">
        <v>3348257.66</v>
      </c>
      <c r="M856" s="37">
        <v>246</v>
      </c>
      <c r="N856" s="5" t="s">
        <v>264</v>
      </c>
      <c r="O856" s="29" t="s">
        <v>245</v>
      </c>
      <c r="P856" s="29" t="s">
        <v>245</v>
      </c>
      <c r="Q856" s="29" t="s">
        <v>245</v>
      </c>
      <c r="R856" s="39">
        <v>43018</v>
      </c>
      <c r="S856" s="31" t="s">
        <v>246</v>
      </c>
      <c r="T856" s="32">
        <v>2017</v>
      </c>
      <c r="U856" s="40">
        <v>43008</v>
      </c>
      <c r="V856" s="32"/>
    </row>
    <row r="857" spans="1:22" ht="19.5" customHeight="1" x14ac:dyDescent="0.3">
      <c r="A857" s="34">
        <v>2017</v>
      </c>
      <c r="B857" s="35">
        <v>42917</v>
      </c>
      <c r="C857" s="34">
        <v>1000</v>
      </c>
      <c r="D857" s="8" t="s">
        <v>86</v>
      </c>
      <c r="E857" s="6">
        <v>0</v>
      </c>
      <c r="F857" s="6">
        <v>64832.4</v>
      </c>
      <c r="G857" s="36">
        <v>64832.4</v>
      </c>
      <c r="H857" s="34">
        <v>1500</v>
      </c>
      <c r="I857" s="8" t="s">
        <v>86</v>
      </c>
      <c r="J857" s="6">
        <v>64832.4</v>
      </c>
      <c r="K857" s="6">
        <v>64832.4</v>
      </c>
      <c r="L857" s="6">
        <v>64832.4</v>
      </c>
      <c r="M857" s="28">
        <v>247</v>
      </c>
      <c r="N857" s="5" t="s">
        <v>264</v>
      </c>
      <c r="O857" s="29" t="s">
        <v>245</v>
      </c>
      <c r="P857" s="29" t="s">
        <v>245</v>
      </c>
      <c r="Q857" s="29" t="s">
        <v>245</v>
      </c>
      <c r="R857" s="39">
        <v>43018</v>
      </c>
      <c r="S857" s="31" t="s">
        <v>246</v>
      </c>
      <c r="T857" s="32">
        <v>2017</v>
      </c>
      <c r="U857" s="40">
        <v>43008</v>
      </c>
      <c r="V857" s="32"/>
    </row>
    <row r="858" spans="1:22" ht="19.5" customHeight="1" x14ac:dyDescent="0.3">
      <c r="A858" s="34">
        <v>2017</v>
      </c>
      <c r="B858" s="35">
        <v>42917</v>
      </c>
      <c r="C858" s="34">
        <v>1000</v>
      </c>
      <c r="D858" s="8" t="s">
        <v>255</v>
      </c>
      <c r="E858" s="6">
        <v>0</v>
      </c>
      <c r="F858" s="6">
        <v>300859.90000000002</v>
      </c>
      <c r="G858" s="36">
        <v>300859.90000000002</v>
      </c>
      <c r="H858" s="34">
        <v>1500</v>
      </c>
      <c r="I858" s="8" t="s">
        <v>255</v>
      </c>
      <c r="J858" s="6">
        <v>300859.90000000002</v>
      </c>
      <c r="K858" s="6">
        <v>300859.90000000002</v>
      </c>
      <c r="L858" s="6">
        <v>300859.90000000002</v>
      </c>
      <c r="M858" s="37">
        <v>248</v>
      </c>
      <c r="N858" s="5" t="s">
        <v>264</v>
      </c>
      <c r="O858" s="29" t="s">
        <v>245</v>
      </c>
      <c r="P858" s="29" t="s">
        <v>245</v>
      </c>
      <c r="Q858" s="29" t="s">
        <v>245</v>
      </c>
      <c r="R858" s="39">
        <v>43018</v>
      </c>
      <c r="S858" s="31" t="s">
        <v>246</v>
      </c>
      <c r="T858" s="32">
        <v>2017</v>
      </c>
      <c r="U858" s="40">
        <v>43008</v>
      </c>
      <c r="V858" s="32"/>
    </row>
    <row r="859" spans="1:22" ht="19.5" customHeight="1" x14ac:dyDescent="0.3">
      <c r="A859" s="34">
        <v>2017</v>
      </c>
      <c r="B859" s="35">
        <v>42917</v>
      </c>
      <c r="C859" s="34">
        <v>1000</v>
      </c>
      <c r="D859" s="8" t="s">
        <v>88</v>
      </c>
      <c r="E859" s="6">
        <v>90162085.730000004</v>
      </c>
      <c r="F859" s="6">
        <v>87655930.269999996</v>
      </c>
      <c r="G859" s="36">
        <v>47319974.179999992</v>
      </c>
      <c r="H859" s="34">
        <v>1500</v>
      </c>
      <c r="I859" s="8" t="s">
        <v>88</v>
      </c>
      <c r="J859" s="6">
        <v>45263368.93</v>
      </c>
      <c r="K859" s="6">
        <v>45263368.93</v>
      </c>
      <c r="L859" s="6">
        <v>45263368.93</v>
      </c>
      <c r="M859" s="28">
        <v>249</v>
      </c>
      <c r="N859" s="5" t="s">
        <v>264</v>
      </c>
      <c r="O859" s="29" t="s">
        <v>245</v>
      </c>
      <c r="P859" s="29" t="s">
        <v>245</v>
      </c>
      <c r="Q859" s="29" t="s">
        <v>245</v>
      </c>
      <c r="R859" s="39">
        <v>43018</v>
      </c>
      <c r="S859" s="31" t="s">
        <v>246</v>
      </c>
      <c r="T859" s="32">
        <v>2017</v>
      </c>
      <c r="U859" s="40">
        <v>43008</v>
      </c>
      <c r="V859" s="32"/>
    </row>
    <row r="860" spans="1:22" ht="19.5" customHeight="1" x14ac:dyDescent="0.3">
      <c r="A860" s="34">
        <v>2017</v>
      </c>
      <c r="B860" s="35">
        <v>42917</v>
      </c>
      <c r="C860" s="34">
        <v>1000</v>
      </c>
      <c r="D860" s="8" t="s">
        <v>89</v>
      </c>
      <c r="E860" s="6">
        <v>0</v>
      </c>
      <c r="F860" s="6">
        <v>610305</v>
      </c>
      <c r="G860" s="36">
        <v>610305</v>
      </c>
      <c r="H860" s="34">
        <v>1500</v>
      </c>
      <c r="I860" s="8" t="s">
        <v>89</v>
      </c>
      <c r="J860" s="6">
        <v>610305</v>
      </c>
      <c r="K860" s="6">
        <v>610305</v>
      </c>
      <c r="L860" s="6">
        <v>610305</v>
      </c>
      <c r="M860" s="37">
        <v>250</v>
      </c>
      <c r="N860" s="5" t="s">
        <v>264</v>
      </c>
      <c r="O860" s="29" t="s">
        <v>245</v>
      </c>
      <c r="P860" s="29" t="s">
        <v>245</v>
      </c>
      <c r="Q860" s="29" t="s">
        <v>245</v>
      </c>
      <c r="R860" s="39">
        <v>43018</v>
      </c>
      <c r="S860" s="31" t="s">
        <v>246</v>
      </c>
      <c r="T860" s="32">
        <v>2017</v>
      </c>
      <c r="U860" s="40">
        <v>43008</v>
      </c>
      <c r="V860" s="32"/>
    </row>
    <row r="861" spans="1:22" ht="19.5" customHeight="1" x14ac:dyDescent="0.3">
      <c r="A861" s="34">
        <v>2017</v>
      </c>
      <c r="B861" s="35">
        <v>42917</v>
      </c>
      <c r="C861" s="34">
        <v>1000</v>
      </c>
      <c r="D861" s="7" t="s">
        <v>91</v>
      </c>
      <c r="E861" s="6">
        <v>370490379.48000002</v>
      </c>
      <c r="F861" s="6">
        <v>359371494.93000001</v>
      </c>
      <c r="G861" s="36">
        <v>282133210.5</v>
      </c>
      <c r="H861" s="34">
        <v>1500</v>
      </c>
      <c r="I861" s="7" t="s">
        <v>91</v>
      </c>
      <c r="J861" s="6">
        <v>267328405.69999999</v>
      </c>
      <c r="K861" s="6">
        <v>267328405.69999999</v>
      </c>
      <c r="L861" s="6">
        <v>267328405.69999999</v>
      </c>
      <c r="M861" s="28">
        <v>251</v>
      </c>
      <c r="N861" s="5" t="s">
        <v>264</v>
      </c>
      <c r="O861" s="29" t="s">
        <v>245</v>
      </c>
      <c r="P861" s="29" t="s">
        <v>245</v>
      </c>
      <c r="Q861" s="29" t="s">
        <v>245</v>
      </c>
      <c r="R861" s="39">
        <v>43018</v>
      </c>
      <c r="S861" s="31" t="s">
        <v>246</v>
      </c>
      <c r="T861" s="32">
        <v>2017</v>
      </c>
      <c r="U861" s="40">
        <v>43008</v>
      </c>
      <c r="V861" s="32"/>
    </row>
    <row r="862" spans="1:22" ht="19.5" customHeight="1" x14ac:dyDescent="0.3">
      <c r="A862" s="34">
        <v>2017</v>
      </c>
      <c r="B862" s="35">
        <v>42917</v>
      </c>
      <c r="C862" s="34">
        <v>2000</v>
      </c>
      <c r="D862" s="8" t="s">
        <v>93</v>
      </c>
      <c r="E862" s="6">
        <v>3095898.37</v>
      </c>
      <c r="F862" s="6">
        <v>2783132.58</v>
      </c>
      <c r="G862" s="36">
        <v>2594052.8200000008</v>
      </c>
      <c r="H862" s="34">
        <v>2100</v>
      </c>
      <c r="I862" s="8" t="s">
        <v>93</v>
      </c>
      <c r="J862" s="6">
        <v>72518.990000000005</v>
      </c>
      <c r="K862" s="6">
        <v>72518.990000000005</v>
      </c>
      <c r="L862" s="6">
        <v>72518.990000000005</v>
      </c>
      <c r="M862" s="37">
        <v>252</v>
      </c>
      <c r="N862" s="5" t="s">
        <v>268</v>
      </c>
      <c r="O862" s="29" t="s">
        <v>245</v>
      </c>
      <c r="P862" s="29" t="s">
        <v>245</v>
      </c>
      <c r="Q862" s="29" t="s">
        <v>245</v>
      </c>
      <c r="R862" s="39">
        <v>43018</v>
      </c>
      <c r="S862" s="31" t="s">
        <v>246</v>
      </c>
      <c r="T862" s="32">
        <v>2017</v>
      </c>
      <c r="U862" s="40">
        <v>43008</v>
      </c>
      <c r="V862" s="32"/>
    </row>
    <row r="863" spans="1:22" ht="19.5" customHeight="1" x14ac:dyDescent="0.3">
      <c r="A863" s="34">
        <v>2017</v>
      </c>
      <c r="B863" s="35">
        <v>42917</v>
      </c>
      <c r="C863" s="34">
        <v>2000</v>
      </c>
      <c r="D863" s="8" t="s">
        <v>94</v>
      </c>
      <c r="E863" s="6">
        <v>857074.2</v>
      </c>
      <c r="F863" s="6">
        <v>1020099.77</v>
      </c>
      <c r="G863" s="36">
        <v>970925.21</v>
      </c>
      <c r="H863" s="34">
        <v>2100</v>
      </c>
      <c r="I863" s="8" t="s">
        <v>94</v>
      </c>
      <c r="J863" s="6">
        <v>15541.13</v>
      </c>
      <c r="K863" s="6">
        <v>15541.13</v>
      </c>
      <c r="L863" s="6">
        <v>15541.13</v>
      </c>
      <c r="M863" s="28">
        <v>253</v>
      </c>
      <c r="N863" s="5" t="s">
        <v>268</v>
      </c>
      <c r="O863" s="29" t="s">
        <v>245</v>
      </c>
      <c r="P863" s="29" t="s">
        <v>245</v>
      </c>
      <c r="Q863" s="29" t="s">
        <v>245</v>
      </c>
      <c r="R863" s="39">
        <v>43018</v>
      </c>
      <c r="S863" s="31" t="s">
        <v>246</v>
      </c>
      <c r="T863" s="32">
        <v>2017</v>
      </c>
      <c r="U863" s="40">
        <v>43008</v>
      </c>
      <c r="V863" s="32"/>
    </row>
    <row r="864" spans="1:22" ht="19.5" customHeight="1" x14ac:dyDescent="0.3">
      <c r="A864" s="34">
        <v>2017</v>
      </c>
      <c r="B864" s="35">
        <v>42917</v>
      </c>
      <c r="C864" s="34">
        <v>2000</v>
      </c>
      <c r="D864" s="8" t="s">
        <v>95</v>
      </c>
      <c r="E864" s="6">
        <v>4345428</v>
      </c>
      <c r="F864" s="6">
        <v>4961410.8099999996</v>
      </c>
      <c r="G864" s="36">
        <v>4899630.26</v>
      </c>
      <c r="H864" s="34">
        <v>2100</v>
      </c>
      <c r="I864" s="8" t="s">
        <v>95</v>
      </c>
      <c r="J864" s="6">
        <v>664905.34</v>
      </c>
      <c r="K864" s="6">
        <v>664905.34</v>
      </c>
      <c r="L864" s="6">
        <v>664905.34</v>
      </c>
      <c r="M864" s="37">
        <v>254</v>
      </c>
      <c r="N864" s="5" t="s">
        <v>268</v>
      </c>
      <c r="O864" s="29" t="s">
        <v>245</v>
      </c>
      <c r="P864" s="29" t="s">
        <v>245</v>
      </c>
      <c r="Q864" s="29" t="s">
        <v>245</v>
      </c>
      <c r="R864" s="39">
        <v>43018</v>
      </c>
      <c r="S864" s="31" t="s">
        <v>246</v>
      </c>
      <c r="T864" s="32">
        <v>2017</v>
      </c>
      <c r="U864" s="40">
        <v>43008</v>
      </c>
      <c r="V864" s="32"/>
    </row>
    <row r="865" spans="1:22" ht="19.5" customHeight="1" x14ac:dyDescent="0.3">
      <c r="A865" s="34">
        <v>2017</v>
      </c>
      <c r="B865" s="35">
        <v>42917</v>
      </c>
      <c r="C865" s="34">
        <v>2000</v>
      </c>
      <c r="D865" s="8" t="s">
        <v>96</v>
      </c>
      <c r="E865" s="6">
        <v>690025</v>
      </c>
      <c r="F865" s="6">
        <v>747504.13</v>
      </c>
      <c r="G865" s="36">
        <v>738909.65</v>
      </c>
      <c r="H865" s="34">
        <v>2100</v>
      </c>
      <c r="I865" s="8" t="s">
        <v>96</v>
      </c>
      <c r="J865" s="6">
        <v>8255.26</v>
      </c>
      <c r="K865" s="6">
        <v>8255.26</v>
      </c>
      <c r="L865" s="6">
        <v>8255.26</v>
      </c>
      <c r="M865" s="28">
        <v>255</v>
      </c>
      <c r="N865" s="5" t="s">
        <v>268</v>
      </c>
      <c r="O865" s="29" t="s">
        <v>245</v>
      </c>
      <c r="P865" s="29" t="s">
        <v>245</v>
      </c>
      <c r="Q865" s="29" t="s">
        <v>245</v>
      </c>
      <c r="R865" s="39">
        <v>43018</v>
      </c>
      <c r="S865" s="31" t="s">
        <v>246</v>
      </c>
      <c r="T865" s="32">
        <v>2017</v>
      </c>
      <c r="U865" s="40">
        <v>43008</v>
      </c>
      <c r="V865" s="32"/>
    </row>
    <row r="866" spans="1:22" ht="19.5" customHeight="1" x14ac:dyDescent="0.3">
      <c r="A866" s="34">
        <v>2017</v>
      </c>
      <c r="B866" s="35">
        <v>42917</v>
      </c>
      <c r="C866" s="34">
        <v>2000</v>
      </c>
      <c r="D866" s="8" t="s">
        <v>97</v>
      </c>
      <c r="E866" s="6">
        <v>1885159.2</v>
      </c>
      <c r="F866" s="6">
        <v>1894691.03</v>
      </c>
      <c r="G866" s="36">
        <v>1894175.71</v>
      </c>
      <c r="H866" s="34">
        <v>2100</v>
      </c>
      <c r="I866" s="8" t="s">
        <v>97</v>
      </c>
      <c r="J866" s="6">
        <v>2596.7800000000002</v>
      </c>
      <c r="K866" s="6">
        <v>2596.7800000000002</v>
      </c>
      <c r="L866" s="6">
        <v>2596.7800000000002</v>
      </c>
      <c r="M866" s="37">
        <v>256</v>
      </c>
      <c r="N866" s="5" t="s">
        <v>268</v>
      </c>
      <c r="O866" s="29" t="s">
        <v>245</v>
      </c>
      <c r="P866" s="29" t="s">
        <v>245</v>
      </c>
      <c r="Q866" s="29" t="s">
        <v>245</v>
      </c>
      <c r="R866" s="39">
        <v>43018</v>
      </c>
      <c r="S866" s="31" t="s">
        <v>246</v>
      </c>
      <c r="T866" s="32">
        <v>2017</v>
      </c>
      <c r="U866" s="40">
        <v>43008</v>
      </c>
      <c r="V866" s="32"/>
    </row>
    <row r="867" spans="1:22" ht="19.5" customHeight="1" x14ac:dyDescent="0.3">
      <c r="A867" s="34">
        <v>2017</v>
      </c>
      <c r="B867" s="35">
        <v>42917</v>
      </c>
      <c r="C867" s="34">
        <v>2000</v>
      </c>
      <c r="D867" s="8" t="s">
        <v>98</v>
      </c>
      <c r="E867" s="6">
        <v>39650</v>
      </c>
      <c r="F867" s="6">
        <v>55549.98</v>
      </c>
      <c r="G867" s="36">
        <v>53044.15</v>
      </c>
      <c r="H867" s="34">
        <v>2100</v>
      </c>
      <c r="I867" s="8" t="s">
        <v>98</v>
      </c>
      <c r="J867" s="6">
        <v>2305.98</v>
      </c>
      <c r="K867" s="6">
        <v>2305.98</v>
      </c>
      <c r="L867" s="6">
        <v>2305.98</v>
      </c>
      <c r="M867" s="28">
        <v>257</v>
      </c>
      <c r="N867" s="5" t="s">
        <v>268</v>
      </c>
      <c r="O867" s="29" t="s">
        <v>245</v>
      </c>
      <c r="P867" s="29" t="s">
        <v>245</v>
      </c>
      <c r="Q867" s="29" t="s">
        <v>245</v>
      </c>
      <c r="R867" s="39">
        <v>43018</v>
      </c>
      <c r="S867" s="31" t="s">
        <v>246</v>
      </c>
      <c r="T867" s="32">
        <v>2017</v>
      </c>
      <c r="U867" s="40">
        <v>43008</v>
      </c>
      <c r="V867" s="32"/>
    </row>
    <row r="868" spans="1:22" ht="19.5" customHeight="1" x14ac:dyDescent="0.3">
      <c r="A868" s="34">
        <v>2017</v>
      </c>
      <c r="B868" s="35">
        <v>42917</v>
      </c>
      <c r="C868" s="34">
        <v>2000</v>
      </c>
      <c r="D868" s="7" t="s">
        <v>99</v>
      </c>
      <c r="E868" s="6">
        <v>15000</v>
      </c>
      <c r="F868" s="6">
        <v>35000</v>
      </c>
      <c r="G868" s="36">
        <v>34800</v>
      </c>
      <c r="H868" s="34">
        <v>2100</v>
      </c>
      <c r="I868" s="7" t="s">
        <v>99</v>
      </c>
      <c r="J868" s="6">
        <v>0</v>
      </c>
      <c r="K868" s="6">
        <v>0</v>
      </c>
      <c r="L868" s="6">
        <v>0</v>
      </c>
      <c r="M868" s="37">
        <v>258</v>
      </c>
      <c r="N868" s="5" t="s">
        <v>268</v>
      </c>
      <c r="O868" s="29" t="s">
        <v>245</v>
      </c>
      <c r="P868" s="29" t="s">
        <v>245</v>
      </c>
      <c r="Q868" s="29" t="s">
        <v>245</v>
      </c>
      <c r="R868" s="39">
        <v>43018</v>
      </c>
      <c r="S868" s="31" t="s">
        <v>246</v>
      </c>
      <c r="T868" s="32">
        <v>2017</v>
      </c>
      <c r="U868" s="40">
        <v>43008</v>
      </c>
      <c r="V868" s="32"/>
    </row>
    <row r="869" spans="1:22" ht="19.5" customHeight="1" x14ac:dyDescent="0.3">
      <c r="A869" s="34">
        <v>2017</v>
      </c>
      <c r="B869" s="35">
        <v>42917</v>
      </c>
      <c r="C869" s="34">
        <v>2000</v>
      </c>
      <c r="D869" s="8" t="s">
        <v>100</v>
      </c>
      <c r="E869" s="6">
        <v>15352041.029999999</v>
      </c>
      <c r="F869" s="6">
        <v>15344485.630000001</v>
      </c>
      <c r="G869" s="36">
        <v>14935316.840000002</v>
      </c>
      <c r="H869" s="34">
        <v>2200</v>
      </c>
      <c r="I869" s="8" t="s">
        <v>100</v>
      </c>
      <c r="J869" s="6">
        <v>6698415.2000000002</v>
      </c>
      <c r="K869" s="6">
        <v>6698415.2000000002</v>
      </c>
      <c r="L869" s="6">
        <v>6698415.2000000002</v>
      </c>
      <c r="M869" s="28">
        <v>259</v>
      </c>
      <c r="N869" s="5" t="s">
        <v>268</v>
      </c>
      <c r="O869" s="29" t="s">
        <v>245</v>
      </c>
      <c r="P869" s="29" t="s">
        <v>245</v>
      </c>
      <c r="Q869" s="29" t="s">
        <v>245</v>
      </c>
      <c r="R869" s="39">
        <v>43018</v>
      </c>
      <c r="S869" s="31" t="s">
        <v>246</v>
      </c>
      <c r="T869" s="32">
        <v>2017</v>
      </c>
      <c r="U869" s="40">
        <v>43008</v>
      </c>
      <c r="V869" s="32"/>
    </row>
    <row r="870" spans="1:22" ht="19.5" customHeight="1" x14ac:dyDescent="0.3">
      <c r="A870" s="34">
        <v>2017</v>
      </c>
      <c r="B870" s="35">
        <v>42917</v>
      </c>
      <c r="C870" s="34">
        <v>2000</v>
      </c>
      <c r="D870" s="8" t="s">
        <v>101</v>
      </c>
      <c r="E870" s="6">
        <v>134400</v>
      </c>
      <c r="F870" s="6">
        <v>175859.94</v>
      </c>
      <c r="G870" s="36">
        <v>172421.53999999998</v>
      </c>
      <c r="H870" s="34">
        <v>2200</v>
      </c>
      <c r="I870" s="8" t="s">
        <v>101</v>
      </c>
      <c r="J870" s="6">
        <v>35935.360000000001</v>
      </c>
      <c r="K870" s="6">
        <v>35935.360000000001</v>
      </c>
      <c r="L870" s="6">
        <v>35935.360000000001</v>
      </c>
      <c r="M870" s="37">
        <v>260</v>
      </c>
      <c r="N870" s="5" t="s">
        <v>268</v>
      </c>
      <c r="O870" s="29" t="s">
        <v>245</v>
      </c>
      <c r="P870" s="29" t="s">
        <v>245</v>
      </c>
      <c r="Q870" s="29" t="s">
        <v>245</v>
      </c>
      <c r="R870" s="39">
        <v>43018</v>
      </c>
      <c r="S870" s="31" t="s">
        <v>246</v>
      </c>
      <c r="T870" s="32">
        <v>2017</v>
      </c>
      <c r="U870" s="40">
        <v>43008</v>
      </c>
      <c r="V870" s="32"/>
    </row>
    <row r="871" spans="1:22" ht="19.5" customHeight="1" x14ac:dyDescent="0.3">
      <c r="A871" s="34">
        <v>2017</v>
      </c>
      <c r="B871" s="35">
        <v>42917</v>
      </c>
      <c r="C871" s="34">
        <v>2000</v>
      </c>
      <c r="D871" s="7" t="s">
        <v>102</v>
      </c>
      <c r="E871" s="6">
        <v>1500</v>
      </c>
      <c r="F871" s="6">
        <v>0</v>
      </c>
      <c r="G871" s="36">
        <v>0</v>
      </c>
      <c r="H871" s="34">
        <v>2300</v>
      </c>
      <c r="I871" s="7" t="s">
        <v>102</v>
      </c>
      <c r="J871" s="6">
        <v>0</v>
      </c>
      <c r="K871" s="6">
        <v>0</v>
      </c>
      <c r="L871" s="6">
        <v>0</v>
      </c>
      <c r="M871" s="28">
        <v>261</v>
      </c>
      <c r="N871" s="5" t="s">
        <v>268</v>
      </c>
      <c r="O871" s="29" t="s">
        <v>245</v>
      </c>
      <c r="P871" s="29" t="s">
        <v>245</v>
      </c>
      <c r="Q871" s="29" t="s">
        <v>245</v>
      </c>
      <c r="R871" s="39">
        <v>43018</v>
      </c>
      <c r="S871" s="31" t="s">
        <v>246</v>
      </c>
      <c r="T871" s="32">
        <v>2017</v>
      </c>
      <c r="U871" s="40">
        <v>43008</v>
      </c>
      <c r="V871" s="32"/>
    </row>
    <row r="872" spans="1:22" ht="19.5" customHeight="1" x14ac:dyDescent="0.3">
      <c r="A872" s="34">
        <v>2017</v>
      </c>
      <c r="B872" s="35">
        <v>42917</v>
      </c>
      <c r="C872" s="34">
        <v>2000</v>
      </c>
      <c r="D872" s="7" t="s">
        <v>104</v>
      </c>
      <c r="E872" s="6">
        <v>483840</v>
      </c>
      <c r="F872" s="6">
        <v>485216.7</v>
      </c>
      <c r="G872" s="36">
        <v>485176.02999999997</v>
      </c>
      <c r="H872" s="34">
        <v>2300</v>
      </c>
      <c r="I872" s="7" t="s">
        <v>104</v>
      </c>
      <c r="J872" s="6">
        <v>141613.75</v>
      </c>
      <c r="K872" s="6">
        <v>141613.75</v>
      </c>
      <c r="L872" s="6">
        <v>141613.75</v>
      </c>
      <c r="M872" s="37">
        <v>262</v>
      </c>
      <c r="N872" s="5" t="s">
        <v>268</v>
      </c>
      <c r="O872" s="29" t="s">
        <v>245</v>
      </c>
      <c r="P872" s="29" t="s">
        <v>245</v>
      </c>
      <c r="Q872" s="29" t="s">
        <v>245</v>
      </c>
      <c r="R872" s="39">
        <v>43018</v>
      </c>
      <c r="S872" s="31" t="s">
        <v>246</v>
      </c>
      <c r="T872" s="32">
        <v>2017</v>
      </c>
      <c r="U872" s="40">
        <v>43008</v>
      </c>
      <c r="V872" s="32"/>
    </row>
    <row r="873" spans="1:22" ht="19.5" customHeight="1" x14ac:dyDescent="0.3">
      <c r="A873" s="34">
        <v>2017</v>
      </c>
      <c r="B873" s="35">
        <v>42917</v>
      </c>
      <c r="C873" s="34">
        <v>2000</v>
      </c>
      <c r="D873" s="7" t="s">
        <v>216</v>
      </c>
      <c r="E873" s="6">
        <v>0</v>
      </c>
      <c r="F873" s="6">
        <v>1571.31</v>
      </c>
      <c r="G873" s="36">
        <v>1571.31</v>
      </c>
      <c r="H873" s="34">
        <v>2300</v>
      </c>
      <c r="I873" s="7" t="s">
        <v>216</v>
      </c>
      <c r="J873" s="6">
        <v>1571.31</v>
      </c>
      <c r="K873" s="6">
        <v>1571.31</v>
      </c>
      <c r="L873" s="6">
        <v>1571.31</v>
      </c>
      <c r="M873" s="28">
        <v>263</v>
      </c>
      <c r="N873" s="5" t="s">
        <v>268</v>
      </c>
      <c r="O873" s="29" t="s">
        <v>245</v>
      </c>
      <c r="P873" s="29" t="s">
        <v>245</v>
      </c>
      <c r="Q873" s="29" t="s">
        <v>245</v>
      </c>
      <c r="R873" s="39">
        <v>43018</v>
      </c>
      <c r="S873" s="31" t="s">
        <v>246</v>
      </c>
      <c r="T873" s="32">
        <v>2017</v>
      </c>
      <c r="U873" s="40">
        <v>43008</v>
      </c>
      <c r="V873" s="32"/>
    </row>
    <row r="874" spans="1:22" ht="19.5" customHeight="1" x14ac:dyDescent="0.3">
      <c r="A874" s="34">
        <v>2017</v>
      </c>
      <c r="B874" s="35">
        <v>42917</v>
      </c>
      <c r="C874" s="34">
        <v>2000</v>
      </c>
      <c r="D874" s="7" t="s">
        <v>257</v>
      </c>
      <c r="E874" s="6">
        <v>0</v>
      </c>
      <c r="F874" s="6">
        <v>8308.08</v>
      </c>
      <c r="G874" s="36">
        <v>8308.08</v>
      </c>
      <c r="H874" s="34">
        <v>2300</v>
      </c>
      <c r="I874" s="7" t="s">
        <v>257</v>
      </c>
      <c r="J874" s="6">
        <v>8308.08</v>
      </c>
      <c r="K874" s="6">
        <v>8308.08</v>
      </c>
      <c r="L874" s="6">
        <v>8308.08</v>
      </c>
      <c r="M874" s="37">
        <v>264</v>
      </c>
      <c r="N874" s="5" t="s">
        <v>268</v>
      </c>
      <c r="O874" s="29" t="s">
        <v>245</v>
      </c>
      <c r="P874" s="29" t="s">
        <v>245</v>
      </c>
      <c r="Q874" s="29" t="s">
        <v>245</v>
      </c>
      <c r="R874" s="39">
        <v>43018</v>
      </c>
      <c r="S874" s="31" t="s">
        <v>246</v>
      </c>
      <c r="T874" s="32">
        <v>2017</v>
      </c>
      <c r="U874" s="40">
        <v>43008</v>
      </c>
      <c r="V874" s="32"/>
    </row>
    <row r="875" spans="1:22" ht="19.5" customHeight="1" x14ac:dyDescent="0.3">
      <c r="A875" s="34">
        <v>2017</v>
      </c>
      <c r="B875" s="35">
        <v>42917</v>
      </c>
      <c r="C875" s="34">
        <v>2000</v>
      </c>
      <c r="D875" s="7" t="s">
        <v>109</v>
      </c>
      <c r="E875" s="6">
        <v>23200</v>
      </c>
      <c r="F875" s="6">
        <v>25224.2</v>
      </c>
      <c r="G875" s="36">
        <v>12464.2</v>
      </c>
      <c r="H875" s="34">
        <v>2400</v>
      </c>
      <c r="I875" s="7" t="s">
        <v>109</v>
      </c>
      <c r="J875" s="6">
        <v>2024.2</v>
      </c>
      <c r="K875" s="6">
        <v>2024.2</v>
      </c>
      <c r="L875" s="6">
        <v>2024.2</v>
      </c>
      <c r="M875" s="28">
        <v>265</v>
      </c>
      <c r="N875" s="5" t="s">
        <v>268</v>
      </c>
      <c r="O875" s="29" t="s">
        <v>245</v>
      </c>
      <c r="P875" s="29" t="s">
        <v>245</v>
      </c>
      <c r="Q875" s="29" t="s">
        <v>245</v>
      </c>
      <c r="R875" s="39">
        <v>43018</v>
      </c>
      <c r="S875" s="31" t="s">
        <v>246</v>
      </c>
      <c r="T875" s="32">
        <v>2017</v>
      </c>
      <c r="U875" s="40">
        <v>43008</v>
      </c>
      <c r="V875" s="32"/>
    </row>
    <row r="876" spans="1:22" ht="19.5" customHeight="1" x14ac:dyDescent="0.3">
      <c r="A876" s="34">
        <v>2017</v>
      </c>
      <c r="B876" s="35">
        <v>42917</v>
      </c>
      <c r="C876" s="34">
        <v>2000</v>
      </c>
      <c r="D876" s="7" t="s">
        <v>110</v>
      </c>
      <c r="E876" s="6">
        <v>0</v>
      </c>
      <c r="F876" s="6">
        <v>302.12</v>
      </c>
      <c r="G876" s="36">
        <v>302.12</v>
      </c>
      <c r="H876" s="34">
        <v>2400</v>
      </c>
      <c r="I876" s="7" t="s">
        <v>110</v>
      </c>
      <c r="J876" s="6">
        <v>302.12</v>
      </c>
      <c r="K876" s="6">
        <v>302.12</v>
      </c>
      <c r="L876" s="6">
        <v>302.12</v>
      </c>
      <c r="M876" s="37">
        <v>266</v>
      </c>
      <c r="N876" s="5" t="s">
        <v>268</v>
      </c>
      <c r="O876" s="29" t="s">
        <v>245</v>
      </c>
      <c r="P876" s="29" t="s">
        <v>245</v>
      </c>
      <c r="Q876" s="29" t="s">
        <v>245</v>
      </c>
      <c r="R876" s="39">
        <v>43018</v>
      </c>
      <c r="S876" s="31" t="s">
        <v>246</v>
      </c>
      <c r="T876" s="32">
        <v>2017</v>
      </c>
      <c r="U876" s="40">
        <v>43008</v>
      </c>
      <c r="V876" s="32"/>
    </row>
    <row r="877" spans="1:22" ht="19.5" customHeight="1" x14ac:dyDescent="0.3">
      <c r="A877" s="34">
        <v>2017</v>
      </c>
      <c r="B877" s="35">
        <v>42917</v>
      </c>
      <c r="C877" s="34">
        <v>2000</v>
      </c>
      <c r="D877" s="7" t="s">
        <v>111</v>
      </c>
      <c r="E877" s="6">
        <v>845263.86</v>
      </c>
      <c r="F877" s="6">
        <v>843052.45</v>
      </c>
      <c r="G877" s="36">
        <v>611211.32000000007</v>
      </c>
      <c r="H877" s="34">
        <v>2400</v>
      </c>
      <c r="I877" s="7" t="s">
        <v>111</v>
      </c>
      <c r="J877" s="6">
        <v>30783.040000000001</v>
      </c>
      <c r="K877" s="6">
        <v>30783.040000000001</v>
      </c>
      <c r="L877" s="6">
        <v>30783.040000000001</v>
      </c>
      <c r="M877" s="28">
        <v>267</v>
      </c>
      <c r="N877" s="5" t="s">
        <v>268</v>
      </c>
      <c r="O877" s="29" t="s">
        <v>245</v>
      </c>
      <c r="P877" s="29" t="s">
        <v>245</v>
      </c>
      <c r="Q877" s="29" t="s">
        <v>245</v>
      </c>
      <c r="R877" s="39">
        <v>43018</v>
      </c>
      <c r="S877" s="31" t="s">
        <v>246</v>
      </c>
      <c r="T877" s="32">
        <v>2017</v>
      </c>
      <c r="U877" s="40">
        <v>43008</v>
      </c>
      <c r="V877" s="32"/>
    </row>
    <row r="878" spans="1:22" ht="19.5" customHeight="1" x14ac:dyDescent="0.3">
      <c r="A878" s="34">
        <v>2017</v>
      </c>
      <c r="B878" s="35">
        <v>42917</v>
      </c>
      <c r="C878" s="34">
        <v>2000</v>
      </c>
      <c r="D878" s="7" t="s">
        <v>112</v>
      </c>
      <c r="E878" s="6">
        <v>245000</v>
      </c>
      <c r="F878" s="6">
        <v>338224.13</v>
      </c>
      <c r="G878" s="36">
        <v>86721.39</v>
      </c>
      <c r="H878" s="34">
        <v>2400</v>
      </c>
      <c r="I878" s="7" t="s">
        <v>112</v>
      </c>
      <c r="J878" s="6">
        <v>86721.39</v>
      </c>
      <c r="K878" s="6">
        <v>86721.39</v>
      </c>
      <c r="L878" s="6">
        <v>86721.39</v>
      </c>
      <c r="M878" s="37">
        <v>268</v>
      </c>
      <c r="N878" s="5" t="s">
        <v>268</v>
      </c>
      <c r="O878" s="29" t="s">
        <v>245</v>
      </c>
      <c r="P878" s="29" t="s">
        <v>245</v>
      </c>
      <c r="Q878" s="29" t="s">
        <v>245</v>
      </c>
      <c r="R878" s="39">
        <v>43018</v>
      </c>
      <c r="S878" s="31" t="s">
        <v>246</v>
      </c>
      <c r="T878" s="32">
        <v>2017</v>
      </c>
      <c r="U878" s="40">
        <v>43008</v>
      </c>
      <c r="V878" s="32"/>
    </row>
    <row r="879" spans="1:22" ht="19.5" customHeight="1" x14ac:dyDescent="0.3">
      <c r="A879" s="34">
        <v>2017</v>
      </c>
      <c r="B879" s="35">
        <v>42917</v>
      </c>
      <c r="C879" s="34">
        <v>2000</v>
      </c>
      <c r="D879" s="7" t="s">
        <v>113</v>
      </c>
      <c r="E879" s="6">
        <v>100000</v>
      </c>
      <c r="F879" s="6">
        <v>198167.22</v>
      </c>
      <c r="G879" s="36">
        <v>195328.63</v>
      </c>
      <c r="H879" s="34">
        <v>2400</v>
      </c>
      <c r="I879" s="7" t="s">
        <v>113</v>
      </c>
      <c r="J879" s="6">
        <v>7133.69</v>
      </c>
      <c r="K879" s="6">
        <v>7133.69</v>
      </c>
      <c r="L879" s="6">
        <v>7133.69</v>
      </c>
      <c r="M879" s="28">
        <v>269</v>
      </c>
      <c r="N879" s="5" t="s">
        <v>268</v>
      </c>
      <c r="O879" s="29" t="s">
        <v>245</v>
      </c>
      <c r="P879" s="29" t="s">
        <v>245</v>
      </c>
      <c r="Q879" s="29" t="s">
        <v>245</v>
      </c>
      <c r="R879" s="39">
        <v>43018</v>
      </c>
      <c r="S879" s="31" t="s">
        <v>246</v>
      </c>
      <c r="T879" s="32">
        <v>2017</v>
      </c>
      <c r="U879" s="40">
        <v>43008</v>
      </c>
      <c r="V879" s="32"/>
    </row>
    <row r="880" spans="1:22" ht="19.5" customHeight="1" x14ac:dyDescent="0.3">
      <c r="A880" s="34">
        <v>2017</v>
      </c>
      <c r="B880" s="35">
        <v>42917</v>
      </c>
      <c r="C880" s="34">
        <v>2000</v>
      </c>
      <c r="D880" s="7" t="s">
        <v>114</v>
      </c>
      <c r="E880" s="6">
        <v>1972</v>
      </c>
      <c r="F880" s="6">
        <v>226125.94</v>
      </c>
      <c r="G880" s="36">
        <v>224153.94</v>
      </c>
      <c r="H880" s="34">
        <v>2400</v>
      </c>
      <c r="I880" s="7" t="s">
        <v>114</v>
      </c>
      <c r="J880" s="6">
        <v>24153.94</v>
      </c>
      <c r="K880" s="6">
        <v>24153.94</v>
      </c>
      <c r="L880" s="6">
        <v>24153.94</v>
      </c>
      <c r="M880" s="37">
        <v>270</v>
      </c>
      <c r="N880" s="5" t="s">
        <v>268</v>
      </c>
      <c r="O880" s="29" t="s">
        <v>245</v>
      </c>
      <c r="P880" s="29" t="s">
        <v>245</v>
      </c>
      <c r="Q880" s="29" t="s">
        <v>245</v>
      </c>
      <c r="R880" s="39">
        <v>43018</v>
      </c>
      <c r="S880" s="31" t="s">
        <v>246</v>
      </c>
      <c r="T880" s="32">
        <v>2017</v>
      </c>
      <c r="U880" s="40">
        <v>43008</v>
      </c>
      <c r="V880" s="32"/>
    </row>
    <row r="881" spans="1:22" ht="19.5" customHeight="1" x14ac:dyDescent="0.3">
      <c r="A881" s="34">
        <v>2017</v>
      </c>
      <c r="B881" s="35">
        <v>42917</v>
      </c>
      <c r="C881" s="34">
        <v>2000</v>
      </c>
      <c r="D881" s="8" t="s">
        <v>115</v>
      </c>
      <c r="E881" s="6">
        <v>1399000</v>
      </c>
      <c r="F881" s="6">
        <v>1381366.69</v>
      </c>
      <c r="G881" s="36">
        <v>1326322.3900000001</v>
      </c>
      <c r="H881" s="34">
        <v>2500</v>
      </c>
      <c r="I881" s="8" t="s">
        <v>115</v>
      </c>
      <c r="J881" s="6">
        <v>37832</v>
      </c>
      <c r="K881" s="6">
        <v>37832</v>
      </c>
      <c r="L881" s="6">
        <v>37832</v>
      </c>
      <c r="M881" s="28">
        <v>271</v>
      </c>
      <c r="N881" s="5" t="s">
        <v>268</v>
      </c>
      <c r="O881" s="29" t="s">
        <v>245</v>
      </c>
      <c r="P881" s="29" t="s">
        <v>245</v>
      </c>
      <c r="Q881" s="29" t="s">
        <v>245</v>
      </c>
      <c r="R881" s="39">
        <v>43018</v>
      </c>
      <c r="S881" s="31" t="s">
        <v>246</v>
      </c>
      <c r="T881" s="32">
        <v>2017</v>
      </c>
      <c r="U881" s="40">
        <v>43008</v>
      </c>
      <c r="V881" s="32"/>
    </row>
    <row r="882" spans="1:22" ht="19.5" customHeight="1" x14ac:dyDescent="0.3">
      <c r="A882" s="34">
        <v>2017</v>
      </c>
      <c r="B882" s="35">
        <v>42917</v>
      </c>
      <c r="C882" s="34">
        <v>2000</v>
      </c>
      <c r="D882" s="8" t="s">
        <v>228</v>
      </c>
      <c r="E882" s="6">
        <v>0</v>
      </c>
      <c r="F882" s="6">
        <v>2738.97</v>
      </c>
      <c r="G882" s="36">
        <v>2738.97</v>
      </c>
      <c r="H882" s="34">
        <v>2500</v>
      </c>
      <c r="I882" s="8" t="s">
        <v>228</v>
      </c>
      <c r="J882" s="6">
        <v>0</v>
      </c>
      <c r="K882" s="6">
        <v>0</v>
      </c>
      <c r="L882" s="6">
        <v>0</v>
      </c>
      <c r="M882" s="37">
        <v>272</v>
      </c>
      <c r="N882" s="5" t="s">
        <v>268</v>
      </c>
      <c r="O882" s="29" t="s">
        <v>245</v>
      </c>
      <c r="P882" s="29" t="s">
        <v>245</v>
      </c>
      <c r="Q882" s="29" t="s">
        <v>245</v>
      </c>
      <c r="R882" s="39">
        <v>43018</v>
      </c>
      <c r="S882" s="31" t="s">
        <v>246</v>
      </c>
      <c r="T882" s="32">
        <v>2017</v>
      </c>
      <c r="U882" s="40">
        <v>43008</v>
      </c>
      <c r="V882" s="32"/>
    </row>
    <row r="883" spans="1:22" ht="19.5" customHeight="1" x14ac:dyDescent="0.3">
      <c r="A883" s="34">
        <v>2017</v>
      </c>
      <c r="B883" s="35">
        <v>42917</v>
      </c>
      <c r="C883" s="34">
        <v>2000</v>
      </c>
      <c r="D883" s="8" t="s">
        <v>116</v>
      </c>
      <c r="E883" s="6">
        <v>0</v>
      </c>
      <c r="F883" s="6">
        <v>201969.21</v>
      </c>
      <c r="G883" s="36">
        <v>201038.09000000003</v>
      </c>
      <c r="H883" s="34">
        <v>2500</v>
      </c>
      <c r="I883" s="8" t="s">
        <v>116</v>
      </c>
      <c r="J883" s="6">
        <v>1969.21</v>
      </c>
      <c r="K883" s="6">
        <v>1969.21</v>
      </c>
      <c r="L883" s="6">
        <v>1969.21</v>
      </c>
      <c r="M883" s="28">
        <v>273</v>
      </c>
      <c r="N883" s="5" t="s">
        <v>268</v>
      </c>
      <c r="O883" s="29" t="s">
        <v>245</v>
      </c>
      <c r="P883" s="29" t="s">
        <v>245</v>
      </c>
      <c r="Q883" s="29" t="s">
        <v>245</v>
      </c>
      <c r="R883" s="39">
        <v>43018</v>
      </c>
      <c r="S883" s="31" t="s">
        <v>246</v>
      </c>
      <c r="T883" s="32">
        <v>2017</v>
      </c>
      <c r="U883" s="40">
        <v>43008</v>
      </c>
      <c r="V883" s="32"/>
    </row>
    <row r="884" spans="1:22" ht="19.5" customHeight="1" x14ac:dyDescent="0.3">
      <c r="A884" s="34">
        <v>2017</v>
      </c>
      <c r="B884" s="35">
        <v>42917</v>
      </c>
      <c r="C884" s="34">
        <v>2000</v>
      </c>
      <c r="D884" s="8" t="s">
        <v>117</v>
      </c>
      <c r="E884" s="6">
        <v>1467.4</v>
      </c>
      <c r="F884" s="6">
        <v>138666.69</v>
      </c>
      <c r="G884" s="36">
        <v>138494.66</v>
      </c>
      <c r="H884" s="34">
        <v>2500</v>
      </c>
      <c r="I884" s="8" t="s">
        <v>117</v>
      </c>
      <c r="J884" s="6">
        <v>1650.68</v>
      </c>
      <c r="K884" s="6">
        <v>1650.68</v>
      </c>
      <c r="L884" s="6">
        <v>1650.68</v>
      </c>
      <c r="M884" s="37">
        <v>274</v>
      </c>
      <c r="N884" s="5" t="s">
        <v>268</v>
      </c>
      <c r="O884" s="29" t="s">
        <v>245</v>
      </c>
      <c r="P884" s="29" t="s">
        <v>245</v>
      </c>
      <c r="Q884" s="29" t="s">
        <v>245</v>
      </c>
      <c r="R884" s="39">
        <v>43018</v>
      </c>
      <c r="S884" s="31" t="s">
        <v>246</v>
      </c>
      <c r="T884" s="32">
        <v>2017</v>
      </c>
      <c r="U884" s="40">
        <v>43008</v>
      </c>
      <c r="V884" s="32"/>
    </row>
    <row r="885" spans="1:22" ht="19.5" customHeight="1" x14ac:dyDescent="0.3">
      <c r="A885" s="34">
        <v>2017</v>
      </c>
      <c r="B885" s="35">
        <v>42917</v>
      </c>
      <c r="C885" s="34">
        <v>2000</v>
      </c>
      <c r="D885" s="8" t="s">
        <v>118</v>
      </c>
      <c r="E885" s="6">
        <v>2032500</v>
      </c>
      <c r="F885" s="6">
        <v>645112.93000000005</v>
      </c>
      <c r="G885" s="36">
        <v>632093.24000000011</v>
      </c>
      <c r="H885" s="34">
        <v>2500</v>
      </c>
      <c r="I885" s="8" t="s">
        <v>118</v>
      </c>
      <c r="J885" s="6">
        <v>1461.4</v>
      </c>
      <c r="K885" s="6">
        <v>1461.4</v>
      </c>
      <c r="L885" s="6">
        <v>1461.4</v>
      </c>
      <c r="M885" s="28">
        <v>275</v>
      </c>
      <c r="N885" s="5" t="s">
        <v>268</v>
      </c>
      <c r="O885" s="29" t="s">
        <v>245</v>
      </c>
      <c r="P885" s="29" t="s">
        <v>245</v>
      </c>
      <c r="Q885" s="29" t="s">
        <v>245</v>
      </c>
      <c r="R885" s="39">
        <v>43018</v>
      </c>
      <c r="S885" s="31" t="s">
        <v>246</v>
      </c>
      <c r="T885" s="32">
        <v>2017</v>
      </c>
      <c r="U885" s="40">
        <v>43008</v>
      </c>
      <c r="V885" s="32"/>
    </row>
    <row r="886" spans="1:22" ht="19.5" customHeight="1" x14ac:dyDescent="0.3">
      <c r="A886" s="34">
        <v>2017</v>
      </c>
      <c r="B886" s="35">
        <v>42917</v>
      </c>
      <c r="C886" s="34">
        <v>2000</v>
      </c>
      <c r="D886" s="8" t="s">
        <v>119</v>
      </c>
      <c r="E886" s="6">
        <v>5284</v>
      </c>
      <c r="F886" s="6">
        <v>23341.919999999998</v>
      </c>
      <c r="G886" s="36">
        <v>5043.95</v>
      </c>
      <c r="H886" s="34">
        <v>2500</v>
      </c>
      <c r="I886" s="8" t="s">
        <v>119</v>
      </c>
      <c r="J886" s="6">
        <v>102.4</v>
      </c>
      <c r="K886" s="6">
        <v>102.4</v>
      </c>
      <c r="L886" s="6">
        <v>102.4</v>
      </c>
      <c r="M886" s="37">
        <v>276</v>
      </c>
      <c r="N886" s="5" t="s">
        <v>268</v>
      </c>
      <c r="O886" s="29" t="s">
        <v>245</v>
      </c>
      <c r="P886" s="29" t="s">
        <v>245</v>
      </c>
      <c r="Q886" s="29" t="s">
        <v>245</v>
      </c>
      <c r="R886" s="39">
        <v>43018</v>
      </c>
      <c r="S886" s="31" t="s">
        <v>246</v>
      </c>
      <c r="T886" s="32">
        <v>2017</v>
      </c>
      <c r="U886" s="40">
        <v>43008</v>
      </c>
      <c r="V886" s="32"/>
    </row>
    <row r="887" spans="1:22" ht="19.5" customHeight="1" x14ac:dyDescent="0.3">
      <c r="A887" s="34">
        <v>2017</v>
      </c>
      <c r="B887" s="35">
        <v>42917</v>
      </c>
      <c r="C887" s="34">
        <v>2000</v>
      </c>
      <c r="D887" s="12" t="s">
        <v>121</v>
      </c>
      <c r="E887" s="6">
        <v>948200</v>
      </c>
      <c r="F887" s="6">
        <v>1598524.2</v>
      </c>
      <c r="G887" s="36">
        <v>1598098.5899999999</v>
      </c>
      <c r="H887" s="34">
        <v>2600</v>
      </c>
      <c r="I887" s="12" t="s">
        <v>121</v>
      </c>
      <c r="J887" s="6">
        <v>1049345.06</v>
      </c>
      <c r="K887" s="6">
        <v>1049345.06</v>
      </c>
      <c r="L887" s="6">
        <v>1049345.06</v>
      </c>
      <c r="M887" s="28">
        <v>277</v>
      </c>
      <c r="N887" s="5" t="s">
        <v>268</v>
      </c>
      <c r="O887" s="29" t="s">
        <v>245</v>
      </c>
      <c r="P887" s="29" t="s">
        <v>245</v>
      </c>
      <c r="Q887" s="29" t="s">
        <v>245</v>
      </c>
      <c r="R887" s="39">
        <v>43018</v>
      </c>
      <c r="S887" s="31" t="s">
        <v>246</v>
      </c>
      <c r="T887" s="32">
        <v>2017</v>
      </c>
      <c r="U887" s="40">
        <v>43008</v>
      </c>
      <c r="V887" s="32"/>
    </row>
    <row r="888" spans="1:22" ht="19.5" customHeight="1" x14ac:dyDescent="0.3">
      <c r="A888" s="34">
        <v>2017</v>
      </c>
      <c r="B888" s="35">
        <v>42917</v>
      </c>
      <c r="C888" s="34">
        <v>2000</v>
      </c>
      <c r="D888" s="12" t="s">
        <v>122</v>
      </c>
      <c r="E888" s="6">
        <v>1746000</v>
      </c>
      <c r="F888" s="6">
        <v>1702900</v>
      </c>
      <c r="G888" s="36">
        <v>1692913.28</v>
      </c>
      <c r="H888" s="34">
        <v>2700</v>
      </c>
      <c r="I888" s="12" t="s">
        <v>122</v>
      </c>
      <c r="J888" s="6">
        <v>2494</v>
      </c>
      <c r="K888" s="6">
        <v>2494</v>
      </c>
      <c r="L888" s="6">
        <v>2494</v>
      </c>
      <c r="M888" s="37">
        <v>278</v>
      </c>
      <c r="N888" s="5" t="s">
        <v>268</v>
      </c>
      <c r="O888" s="29" t="s">
        <v>245</v>
      </c>
      <c r="P888" s="29" t="s">
        <v>245</v>
      </c>
      <c r="Q888" s="29" t="s">
        <v>245</v>
      </c>
      <c r="R888" s="39">
        <v>43018</v>
      </c>
      <c r="S888" s="31" t="s">
        <v>246</v>
      </c>
      <c r="T888" s="32">
        <v>2017</v>
      </c>
      <c r="U888" s="40">
        <v>43008</v>
      </c>
      <c r="V888" s="32"/>
    </row>
    <row r="889" spans="1:22" ht="19.5" customHeight="1" x14ac:dyDescent="0.3">
      <c r="A889" s="34">
        <v>2017</v>
      </c>
      <c r="B889" s="35">
        <v>42917</v>
      </c>
      <c r="C889" s="34">
        <v>2000</v>
      </c>
      <c r="D889" s="12" t="s">
        <v>123</v>
      </c>
      <c r="E889" s="6">
        <v>2463243.75</v>
      </c>
      <c r="F889" s="6">
        <v>2465944.62</v>
      </c>
      <c r="G889" s="36">
        <v>2465270.71</v>
      </c>
      <c r="H889" s="34">
        <v>2700</v>
      </c>
      <c r="I889" s="12" t="s">
        <v>123</v>
      </c>
      <c r="J889" s="6">
        <v>3234.05</v>
      </c>
      <c r="K889" s="6">
        <v>3234.05</v>
      </c>
      <c r="L889" s="6">
        <v>3234.05</v>
      </c>
      <c r="M889" s="28">
        <v>279</v>
      </c>
      <c r="N889" s="5" t="s">
        <v>268</v>
      </c>
      <c r="O889" s="29" t="s">
        <v>245</v>
      </c>
      <c r="P889" s="29" t="s">
        <v>245</v>
      </c>
      <c r="Q889" s="29" t="s">
        <v>245</v>
      </c>
      <c r="R889" s="39">
        <v>43018</v>
      </c>
      <c r="S889" s="31" t="s">
        <v>246</v>
      </c>
      <c r="T889" s="32">
        <v>2017</v>
      </c>
      <c r="U889" s="40">
        <v>43008</v>
      </c>
      <c r="V889" s="32"/>
    </row>
    <row r="890" spans="1:22" ht="19.5" customHeight="1" x14ac:dyDescent="0.3">
      <c r="A890" s="34">
        <v>2017</v>
      </c>
      <c r="B890" s="35">
        <v>42917</v>
      </c>
      <c r="C890" s="34">
        <v>2000</v>
      </c>
      <c r="D890" s="12" t="s">
        <v>124</v>
      </c>
      <c r="E890" s="6">
        <v>40800</v>
      </c>
      <c r="F890" s="6">
        <v>800</v>
      </c>
      <c r="G890" s="36">
        <v>1598</v>
      </c>
      <c r="H890" s="34">
        <v>2700</v>
      </c>
      <c r="I890" s="12" t="s">
        <v>124</v>
      </c>
      <c r="J890" s="6">
        <v>0</v>
      </c>
      <c r="K890" s="6">
        <v>0</v>
      </c>
      <c r="L890" s="6">
        <v>0</v>
      </c>
      <c r="M890" s="37">
        <v>280</v>
      </c>
      <c r="N890" s="5" t="s">
        <v>268</v>
      </c>
      <c r="O890" s="29" t="s">
        <v>245</v>
      </c>
      <c r="P890" s="29" t="s">
        <v>245</v>
      </c>
      <c r="Q890" s="29" t="s">
        <v>245</v>
      </c>
      <c r="R890" s="39">
        <v>43018</v>
      </c>
      <c r="S890" s="31" t="s">
        <v>246</v>
      </c>
      <c r="T890" s="32">
        <v>2017</v>
      </c>
      <c r="U890" s="40">
        <v>43008</v>
      </c>
      <c r="V890" s="32"/>
    </row>
    <row r="891" spans="1:22" ht="19.5" customHeight="1" x14ac:dyDescent="0.3">
      <c r="A891" s="34">
        <v>2017</v>
      </c>
      <c r="B891" s="35">
        <v>42917</v>
      </c>
      <c r="C891" s="34">
        <v>2000</v>
      </c>
      <c r="D891" s="12" t="s">
        <v>125</v>
      </c>
      <c r="E891" s="6">
        <v>32320</v>
      </c>
      <c r="F891" s="6">
        <v>8734.93</v>
      </c>
      <c r="G891" s="36">
        <v>3918.1299999999997</v>
      </c>
      <c r="H891" s="34">
        <v>2700</v>
      </c>
      <c r="I891" s="12" t="s">
        <v>125</v>
      </c>
      <c r="J891" s="6">
        <v>414.93</v>
      </c>
      <c r="K891" s="6">
        <v>414.93</v>
      </c>
      <c r="L891" s="6">
        <v>414.93</v>
      </c>
      <c r="M891" s="28">
        <v>281</v>
      </c>
      <c r="N891" s="5" t="s">
        <v>268</v>
      </c>
      <c r="O891" s="29" t="s">
        <v>245</v>
      </c>
      <c r="P891" s="29" t="s">
        <v>245</v>
      </c>
      <c r="Q891" s="29" t="s">
        <v>245</v>
      </c>
      <c r="R891" s="39">
        <v>43018</v>
      </c>
      <c r="S891" s="31" t="s">
        <v>246</v>
      </c>
      <c r="T891" s="32">
        <v>2017</v>
      </c>
      <c r="U891" s="40">
        <v>43008</v>
      </c>
      <c r="V891" s="32"/>
    </row>
    <row r="892" spans="1:22" ht="19.5" customHeight="1" x14ac:dyDescent="0.3">
      <c r="A892" s="34">
        <v>2017</v>
      </c>
      <c r="B892" s="35">
        <v>42917</v>
      </c>
      <c r="C892" s="34">
        <v>2000</v>
      </c>
      <c r="D892" s="7" t="s">
        <v>126</v>
      </c>
      <c r="E892" s="6">
        <v>5000</v>
      </c>
      <c r="F892" s="6">
        <v>5000</v>
      </c>
      <c r="G892" s="36">
        <v>4988</v>
      </c>
      <c r="H892" s="34">
        <v>2700</v>
      </c>
      <c r="I892" s="7" t="s">
        <v>126</v>
      </c>
      <c r="J892" s="6">
        <v>0</v>
      </c>
      <c r="K892" s="6">
        <v>0</v>
      </c>
      <c r="L892" s="6">
        <v>0</v>
      </c>
      <c r="M892" s="37">
        <v>282</v>
      </c>
      <c r="N892" s="5" t="s">
        <v>268</v>
      </c>
      <c r="O892" s="29" t="s">
        <v>245</v>
      </c>
      <c r="P892" s="29" t="s">
        <v>245</v>
      </c>
      <c r="Q892" s="29" t="s">
        <v>245</v>
      </c>
      <c r="R892" s="39">
        <v>43018</v>
      </c>
      <c r="S892" s="31" t="s">
        <v>246</v>
      </c>
      <c r="T892" s="32">
        <v>2017</v>
      </c>
      <c r="U892" s="40">
        <v>43008</v>
      </c>
      <c r="V892" s="32"/>
    </row>
    <row r="893" spans="1:22" ht="19.5" customHeight="1" x14ac:dyDescent="0.3">
      <c r="A893" s="34">
        <v>2017</v>
      </c>
      <c r="B893" s="35">
        <v>42917</v>
      </c>
      <c r="C893" s="34">
        <v>2000</v>
      </c>
      <c r="D893" s="12" t="s">
        <v>128</v>
      </c>
      <c r="E893" s="6">
        <v>375338.46</v>
      </c>
      <c r="F893" s="6">
        <v>403196.78</v>
      </c>
      <c r="G893" s="36">
        <v>218061.13999999996</v>
      </c>
      <c r="H893" s="34">
        <v>2900</v>
      </c>
      <c r="I893" s="12" t="s">
        <v>128</v>
      </c>
      <c r="J893" s="6">
        <v>11169.92</v>
      </c>
      <c r="K893" s="6">
        <v>11169.92</v>
      </c>
      <c r="L893" s="6">
        <v>11169.92</v>
      </c>
      <c r="M893" s="28">
        <v>283</v>
      </c>
      <c r="N893" s="5" t="s">
        <v>268</v>
      </c>
      <c r="O893" s="29" t="s">
        <v>245</v>
      </c>
      <c r="P893" s="29" t="s">
        <v>245</v>
      </c>
      <c r="Q893" s="29" t="s">
        <v>245</v>
      </c>
      <c r="R893" s="39">
        <v>43018</v>
      </c>
      <c r="S893" s="31" t="s">
        <v>246</v>
      </c>
      <c r="T893" s="32">
        <v>2017</v>
      </c>
      <c r="U893" s="40">
        <v>43008</v>
      </c>
      <c r="V893" s="32"/>
    </row>
    <row r="894" spans="1:22" ht="19.5" customHeight="1" x14ac:dyDescent="0.3">
      <c r="A894" s="34">
        <v>2017</v>
      </c>
      <c r="B894" s="35">
        <v>42917</v>
      </c>
      <c r="C894" s="34">
        <v>2000</v>
      </c>
      <c r="D894" s="12" t="s">
        <v>129</v>
      </c>
      <c r="E894" s="6">
        <v>41800</v>
      </c>
      <c r="F894" s="6">
        <v>27209.77</v>
      </c>
      <c r="G894" s="36">
        <v>26921.14</v>
      </c>
      <c r="H894" s="34">
        <v>2900</v>
      </c>
      <c r="I894" s="12" t="s">
        <v>129</v>
      </c>
      <c r="J894" s="6">
        <v>15156.89</v>
      </c>
      <c r="K894" s="6">
        <v>15156.89</v>
      </c>
      <c r="L894" s="6">
        <v>15156.89</v>
      </c>
      <c r="M894" s="37">
        <v>284</v>
      </c>
      <c r="N894" s="5" t="s">
        <v>268</v>
      </c>
      <c r="O894" s="29" t="s">
        <v>245</v>
      </c>
      <c r="P894" s="29" t="s">
        <v>245</v>
      </c>
      <c r="Q894" s="29" t="s">
        <v>245</v>
      </c>
      <c r="R894" s="39">
        <v>43018</v>
      </c>
      <c r="S894" s="31" t="s">
        <v>246</v>
      </c>
      <c r="T894" s="32">
        <v>2017</v>
      </c>
      <c r="U894" s="40">
        <v>43008</v>
      </c>
      <c r="V894" s="32"/>
    </row>
    <row r="895" spans="1:22" ht="19.5" customHeight="1" x14ac:dyDescent="0.3">
      <c r="A895" s="34">
        <v>2017</v>
      </c>
      <c r="B895" s="35">
        <v>42917</v>
      </c>
      <c r="C895" s="34">
        <v>2000</v>
      </c>
      <c r="D895" s="12" t="s">
        <v>258</v>
      </c>
      <c r="E895" s="6">
        <v>0</v>
      </c>
      <c r="F895" s="6">
        <v>89283.99</v>
      </c>
      <c r="G895" s="36">
        <v>64135.98</v>
      </c>
      <c r="H895" s="34">
        <v>2900</v>
      </c>
      <c r="I895" s="12" t="s">
        <v>258</v>
      </c>
      <c r="J895" s="6">
        <v>54463.9</v>
      </c>
      <c r="K895" s="6">
        <v>54463.9</v>
      </c>
      <c r="L895" s="6">
        <v>54463.9</v>
      </c>
      <c r="M895" s="28">
        <v>285</v>
      </c>
      <c r="N895" s="5" t="s">
        <v>268</v>
      </c>
      <c r="O895" s="29" t="s">
        <v>245</v>
      </c>
      <c r="P895" s="29" t="s">
        <v>245</v>
      </c>
      <c r="Q895" s="29" t="s">
        <v>245</v>
      </c>
      <c r="R895" s="39">
        <v>43018</v>
      </c>
      <c r="S895" s="31" t="s">
        <v>246</v>
      </c>
      <c r="T895" s="32">
        <v>2017</v>
      </c>
      <c r="U895" s="40">
        <v>43008</v>
      </c>
      <c r="V895" s="32"/>
    </row>
    <row r="896" spans="1:22" ht="19.5" customHeight="1" x14ac:dyDescent="0.3">
      <c r="A896" s="34">
        <v>2017</v>
      </c>
      <c r="B896" s="35">
        <v>42917</v>
      </c>
      <c r="C896" s="34">
        <v>2000</v>
      </c>
      <c r="D896" s="12" t="s">
        <v>131</v>
      </c>
      <c r="E896" s="6">
        <v>1362891.5</v>
      </c>
      <c r="F896" s="6">
        <v>1715510.51</v>
      </c>
      <c r="G896" s="36">
        <v>1707510.67</v>
      </c>
      <c r="H896" s="34">
        <v>2900</v>
      </c>
      <c r="I896" s="12" t="s">
        <v>131</v>
      </c>
      <c r="J896" s="6">
        <v>116473.8</v>
      </c>
      <c r="K896" s="6">
        <v>116473.8</v>
      </c>
      <c r="L896" s="6">
        <v>116473.8</v>
      </c>
      <c r="M896" s="37">
        <v>286</v>
      </c>
      <c r="N896" s="5" t="s">
        <v>268</v>
      </c>
      <c r="O896" s="29" t="s">
        <v>245</v>
      </c>
      <c r="P896" s="29" t="s">
        <v>245</v>
      </c>
      <c r="Q896" s="29" t="s">
        <v>245</v>
      </c>
      <c r="R896" s="39">
        <v>43018</v>
      </c>
      <c r="S896" s="31" t="s">
        <v>246</v>
      </c>
      <c r="T896" s="32">
        <v>2017</v>
      </c>
      <c r="U896" s="40">
        <v>43008</v>
      </c>
      <c r="V896" s="32"/>
    </row>
    <row r="897" spans="1:22" ht="19.5" customHeight="1" x14ac:dyDescent="0.3">
      <c r="A897" s="34">
        <v>2017</v>
      </c>
      <c r="B897" s="35">
        <v>42917</v>
      </c>
      <c r="C897" s="34">
        <v>2000</v>
      </c>
      <c r="D897" s="12" t="s">
        <v>217</v>
      </c>
      <c r="E897" s="6">
        <v>0</v>
      </c>
      <c r="F897" s="6">
        <v>40000</v>
      </c>
      <c r="G897" s="36">
        <v>35199.97</v>
      </c>
      <c r="H897" s="34">
        <v>2900</v>
      </c>
      <c r="I897" s="12" t="s">
        <v>217</v>
      </c>
      <c r="J897" s="6">
        <v>0</v>
      </c>
      <c r="K897" s="6">
        <v>0</v>
      </c>
      <c r="L897" s="6">
        <v>0</v>
      </c>
      <c r="M897" s="28">
        <v>287</v>
      </c>
      <c r="N897" s="5" t="s">
        <v>268</v>
      </c>
      <c r="O897" s="29" t="s">
        <v>245</v>
      </c>
      <c r="P897" s="29" t="s">
        <v>245</v>
      </c>
      <c r="Q897" s="29" t="s">
        <v>245</v>
      </c>
      <c r="R897" s="39">
        <v>43018</v>
      </c>
      <c r="S897" s="31" t="s">
        <v>246</v>
      </c>
      <c r="T897" s="32">
        <v>2017</v>
      </c>
      <c r="U897" s="40">
        <v>43008</v>
      </c>
      <c r="V897" s="32"/>
    </row>
    <row r="898" spans="1:22" ht="19.5" customHeight="1" x14ac:dyDescent="0.3">
      <c r="A898" s="34">
        <v>2017</v>
      </c>
      <c r="B898" s="35">
        <v>42917</v>
      </c>
      <c r="C898" s="34">
        <v>2000</v>
      </c>
      <c r="D898" s="7" t="s">
        <v>132</v>
      </c>
      <c r="E898" s="6">
        <v>0</v>
      </c>
      <c r="F898" s="6">
        <v>2969.8</v>
      </c>
      <c r="G898" s="36">
        <v>2969.8</v>
      </c>
      <c r="H898" s="34">
        <v>2900</v>
      </c>
      <c r="I898" s="7" t="s">
        <v>132</v>
      </c>
      <c r="J898" s="6">
        <v>2969.8</v>
      </c>
      <c r="K898" s="6">
        <v>2969.8</v>
      </c>
      <c r="L898" s="6">
        <v>2969.8</v>
      </c>
      <c r="M898" s="37">
        <v>288</v>
      </c>
      <c r="N898" s="5" t="s">
        <v>268</v>
      </c>
      <c r="O898" s="29" t="s">
        <v>245</v>
      </c>
      <c r="P898" s="29" t="s">
        <v>245</v>
      </c>
      <c r="Q898" s="29" t="s">
        <v>245</v>
      </c>
      <c r="R898" s="39">
        <v>43018</v>
      </c>
      <c r="S898" s="31" t="s">
        <v>246</v>
      </c>
      <c r="T898" s="32">
        <v>2017</v>
      </c>
      <c r="U898" s="40">
        <v>43008</v>
      </c>
      <c r="V898" s="32"/>
    </row>
    <row r="899" spans="1:22" ht="19.5" customHeight="1" x14ac:dyDescent="0.3">
      <c r="A899" s="34">
        <v>2017</v>
      </c>
      <c r="B899" s="35">
        <v>42917</v>
      </c>
      <c r="C899" s="34">
        <v>2000</v>
      </c>
      <c r="D899" s="7" t="s">
        <v>133</v>
      </c>
      <c r="E899" s="6">
        <v>15000</v>
      </c>
      <c r="F899" s="6">
        <v>25853.47</v>
      </c>
      <c r="G899" s="36">
        <v>25853.469999999998</v>
      </c>
      <c r="H899" s="34">
        <v>2900</v>
      </c>
      <c r="I899" s="7" t="s">
        <v>133</v>
      </c>
      <c r="J899" s="6">
        <v>3668.47</v>
      </c>
      <c r="K899" s="6">
        <v>3668.47</v>
      </c>
      <c r="L899" s="6">
        <v>3668.47</v>
      </c>
      <c r="M899" s="28">
        <v>289</v>
      </c>
      <c r="N899" s="5" t="s">
        <v>268</v>
      </c>
      <c r="O899" s="29" t="s">
        <v>245</v>
      </c>
      <c r="P899" s="29" t="s">
        <v>245</v>
      </c>
      <c r="Q899" s="29" t="s">
        <v>245</v>
      </c>
      <c r="R899" s="39">
        <v>43018</v>
      </c>
      <c r="S899" s="31" t="s">
        <v>246</v>
      </c>
      <c r="T899" s="32">
        <v>2017</v>
      </c>
      <c r="U899" s="40">
        <v>43008</v>
      </c>
      <c r="V899" s="32"/>
    </row>
    <row r="900" spans="1:22" ht="19.5" customHeight="1" x14ac:dyDescent="0.3">
      <c r="A900" s="34">
        <v>2017</v>
      </c>
      <c r="B900" s="35">
        <v>42917</v>
      </c>
      <c r="C900" s="34">
        <v>3000</v>
      </c>
      <c r="D900" s="12" t="s">
        <v>135</v>
      </c>
      <c r="E900" s="6">
        <v>9187500</v>
      </c>
      <c r="F900" s="6">
        <v>9240722.9000000004</v>
      </c>
      <c r="G900" s="36">
        <v>9240722.3900000006</v>
      </c>
      <c r="H900" s="34">
        <v>3100</v>
      </c>
      <c r="I900" s="12" t="s">
        <v>135</v>
      </c>
      <c r="J900" s="6">
        <v>4806002</v>
      </c>
      <c r="K900" s="6">
        <v>4806002</v>
      </c>
      <c r="L900" s="6">
        <v>4806002</v>
      </c>
      <c r="M900" s="37">
        <v>290</v>
      </c>
      <c r="N900" s="5" t="s">
        <v>269</v>
      </c>
      <c r="O900" s="29" t="s">
        <v>245</v>
      </c>
      <c r="P900" s="29" t="s">
        <v>245</v>
      </c>
      <c r="Q900" s="29" t="s">
        <v>245</v>
      </c>
      <c r="R900" s="39">
        <v>43018</v>
      </c>
      <c r="S900" s="31" t="s">
        <v>246</v>
      </c>
      <c r="T900" s="32">
        <v>2017</v>
      </c>
      <c r="U900" s="40">
        <v>43008</v>
      </c>
      <c r="V900" s="32"/>
    </row>
    <row r="901" spans="1:22" ht="19.5" customHeight="1" x14ac:dyDescent="0.3">
      <c r="A901" s="34">
        <v>2017</v>
      </c>
      <c r="B901" s="35">
        <v>42917</v>
      </c>
      <c r="C901" s="34">
        <v>3000</v>
      </c>
      <c r="D901" s="12" t="s">
        <v>136</v>
      </c>
      <c r="E901" s="6">
        <v>3150000</v>
      </c>
      <c r="F901" s="6">
        <v>3150000</v>
      </c>
      <c r="G901" s="36">
        <v>3150000</v>
      </c>
      <c r="H901" s="34">
        <v>3100</v>
      </c>
      <c r="I901" s="12" t="s">
        <v>136</v>
      </c>
      <c r="J901" s="6">
        <v>2316943</v>
      </c>
      <c r="K901" s="6">
        <v>2316943</v>
      </c>
      <c r="L901" s="6">
        <v>2316943</v>
      </c>
      <c r="M901" s="28">
        <v>291</v>
      </c>
      <c r="N901" s="5" t="s">
        <v>269</v>
      </c>
      <c r="O901" s="29" t="s">
        <v>245</v>
      </c>
      <c r="P901" s="29" t="s">
        <v>245</v>
      </c>
      <c r="Q901" s="29" t="s">
        <v>245</v>
      </c>
      <c r="R901" s="39">
        <v>43018</v>
      </c>
      <c r="S901" s="31" t="s">
        <v>246</v>
      </c>
      <c r="T901" s="32">
        <v>2017</v>
      </c>
      <c r="U901" s="40">
        <v>43008</v>
      </c>
      <c r="V901" s="32"/>
    </row>
    <row r="902" spans="1:22" ht="19.5" customHeight="1" x14ac:dyDescent="0.3">
      <c r="A902" s="34">
        <v>2017</v>
      </c>
      <c r="B902" s="35">
        <v>42917</v>
      </c>
      <c r="C902" s="34">
        <v>3000</v>
      </c>
      <c r="D902" s="12" t="s">
        <v>137</v>
      </c>
      <c r="E902" s="6">
        <v>1113000</v>
      </c>
      <c r="F902" s="6">
        <v>1113000</v>
      </c>
      <c r="G902" s="36">
        <v>1113000</v>
      </c>
      <c r="H902" s="34">
        <v>3100</v>
      </c>
      <c r="I902" s="12" t="s">
        <v>137</v>
      </c>
      <c r="J902" s="6">
        <v>548553.82999999996</v>
      </c>
      <c r="K902" s="6">
        <v>548553.82999999996</v>
      </c>
      <c r="L902" s="6">
        <v>548553.82999999996</v>
      </c>
      <c r="M902" s="37">
        <v>292</v>
      </c>
      <c r="N902" s="5" t="s">
        <v>269</v>
      </c>
      <c r="O902" s="29" t="s">
        <v>245</v>
      </c>
      <c r="P902" s="29" t="s">
        <v>245</v>
      </c>
      <c r="Q902" s="29" t="s">
        <v>245</v>
      </c>
      <c r="R902" s="39">
        <v>43018</v>
      </c>
      <c r="S902" s="31" t="s">
        <v>246</v>
      </c>
      <c r="T902" s="32">
        <v>2017</v>
      </c>
      <c r="U902" s="40">
        <v>43008</v>
      </c>
      <c r="V902" s="32"/>
    </row>
    <row r="903" spans="1:22" ht="19.5" customHeight="1" x14ac:dyDescent="0.3">
      <c r="A903" s="34">
        <v>2017</v>
      </c>
      <c r="B903" s="35">
        <v>42917</v>
      </c>
      <c r="C903" s="34">
        <v>3000</v>
      </c>
      <c r="D903" s="12" t="s">
        <v>270</v>
      </c>
      <c r="E903" s="6">
        <v>0</v>
      </c>
      <c r="F903" s="6">
        <v>33000</v>
      </c>
      <c r="G903" s="36">
        <v>32999.660000000003</v>
      </c>
      <c r="H903" s="34">
        <v>3100</v>
      </c>
      <c r="I903" s="12" t="s">
        <v>270</v>
      </c>
      <c r="J903" s="6">
        <v>0</v>
      </c>
      <c r="K903" s="6">
        <v>0</v>
      </c>
      <c r="L903" s="6">
        <v>0</v>
      </c>
      <c r="M903" s="28">
        <v>293</v>
      </c>
      <c r="N903" s="5" t="s">
        <v>269</v>
      </c>
      <c r="O903" s="29" t="s">
        <v>245</v>
      </c>
      <c r="P903" s="29" t="s">
        <v>245</v>
      </c>
      <c r="Q903" s="29" t="s">
        <v>245</v>
      </c>
      <c r="R903" s="39">
        <v>43018</v>
      </c>
      <c r="S903" s="31" t="s">
        <v>246</v>
      </c>
      <c r="T903" s="32">
        <v>2017</v>
      </c>
      <c r="U903" s="40">
        <v>43008</v>
      </c>
      <c r="V903" s="32"/>
    </row>
    <row r="904" spans="1:22" ht="19.5" customHeight="1" x14ac:dyDescent="0.3">
      <c r="A904" s="34">
        <v>2017</v>
      </c>
      <c r="B904" s="35">
        <v>42917</v>
      </c>
      <c r="C904" s="34">
        <v>3000</v>
      </c>
      <c r="D904" s="12" t="s">
        <v>138</v>
      </c>
      <c r="E904" s="6">
        <v>250000</v>
      </c>
      <c r="F904" s="6">
        <v>250000</v>
      </c>
      <c r="G904" s="36">
        <v>100000</v>
      </c>
      <c r="H904" s="34">
        <v>3100</v>
      </c>
      <c r="I904" s="12" t="s">
        <v>138</v>
      </c>
      <c r="J904" s="6">
        <v>55000.480000000003</v>
      </c>
      <c r="K904" s="6">
        <v>55000.480000000003</v>
      </c>
      <c r="L904" s="6">
        <v>55000.480000000003</v>
      </c>
      <c r="M904" s="37">
        <v>294</v>
      </c>
      <c r="N904" s="5" t="s">
        <v>269</v>
      </c>
      <c r="O904" s="29" t="s">
        <v>245</v>
      </c>
      <c r="P904" s="29" t="s">
        <v>245</v>
      </c>
      <c r="Q904" s="29" t="s">
        <v>245</v>
      </c>
      <c r="R904" s="39">
        <v>43018</v>
      </c>
      <c r="S904" s="31" t="s">
        <v>246</v>
      </c>
      <c r="T904" s="32">
        <v>2017</v>
      </c>
      <c r="U904" s="40">
        <v>43008</v>
      </c>
      <c r="V904" s="32"/>
    </row>
    <row r="905" spans="1:22" ht="19.5" customHeight="1" x14ac:dyDescent="0.3">
      <c r="A905" s="34">
        <v>2017</v>
      </c>
      <c r="B905" s="35">
        <v>42917</v>
      </c>
      <c r="C905" s="34">
        <v>3000</v>
      </c>
      <c r="D905" s="12" t="s">
        <v>139</v>
      </c>
      <c r="E905" s="6">
        <v>6887777</v>
      </c>
      <c r="F905" s="6">
        <v>6347241.5800000001</v>
      </c>
      <c r="G905" s="36">
        <v>6347231.75</v>
      </c>
      <c r="H905" s="34">
        <v>3100</v>
      </c>
      <c r="I905" s="12" t="s">
        <v>139</v>
      </c>
      <c r="J905" s="6">
        <v>3530485.7</v>
      </c>
      <c r="K905" s="6">
        <v>3530485.7</v>
      </c>
      <c r="L905" s="6">
        <v>3530485.7</v>
      </c>
      <c r="M905" s="28">
        <v>295</v>
      </c>
      <c r="N905" s="5" t="s">
        <v>269</v>
      </c>
      <c r="O905" s="29" t="s">
        <v>245</v>
      </c>
      <c r="P905" s="29" t="s">
        <v>245</v>
      </c>
      <c r="Q905" s="29" t="s">
        <v>245</v>
      </c>
      <c r="R905" s="39">
        <v>43018</v>
      </c>
      <c r="S905" s="31" t="s">
        <v>246</v>
      </c>
      <c r="T905" s="32">
        <v>2017</v>
      </c>
      <c r="U905" s="40">
        <v>43008</v>
      </c>
      <c r="V905" s="32"/>
    </row>
    <row r="906" spans="1:22" ht="19.5" customHeight="1" x14ac:dyDescent="0.3">
      <c r="A906" s="34">
        <v>2017</v>
      </c>
      <c r="B906" s="35">
        <v>42917</v>
      </c>
      <c r="C906" s="34">
        <v>3000</v>
      </c>
      <c r="D906" s="12" t="s">
        <v>140</v>
      </c>
      <c r="E906" s="6">
        <v>56560</v>
      </c>
      <c r="F906" s="6">
        <v>23560</v>
      </c>
      <c r="G906" s="36">
        <v>22638.01</v>
      </c>
      <c r="H906" s="34">
        <v>3100</v>
      </c>
      <c r="I906" s="12" t="s">
        <v>140</v>
      </c>
      <c r="J906" s="6">
        <v>16008</v>
      </c>
      <c r="K906" s="6">
        <v>16008</v>
      </c>
      <c r="L906" s="6">
        <v>16008</v>
      </c>
      <c r="M906" s="37">
        <v>296</v>
      </c>
      <c r="N906" s="5" t="s">
        <v>269</v>
      </c>
      <c r="O906" s="29" t="s">
        <v>245</v>
      </c>
      <c r="P906" s="29" t="s">
        <v>245</v>
      </c>
      <c r="Q906" s="29" t="s">
        <v>245</v>
      </c>
      <c r="R906" s="39">
        <v>43018</v>
      </c>
      <c r="S906" s="31" t="s">
        <v>246</v>
      </c>
      <c r="T906" s="32">
        <v>2017</v>
      </c>
      <c r="U906" s="40">
        <v>43008</v>
      </c>
      <c r="V906" s="32"/>
    </row>
    <row r="907" spans="1:22" ht="19.5" customHeight="1" x14ac:dyDescent="0.3">
      <c r="A907" s="34">
        <v>2017</v>
      </c>
      <c r="B907" s="35">
        <v>42917</v>
      </c>
      <c r="C907" s="34">
        <v>3000</v>
      </c>
      <c r="D907" s="7" t="s">
        <v>141</v>
      </c>
      <c r="E907" s="6">
        <v>1600800</v>
      </c>
      <c r="F907" s="6">
        <v>1825800</v>
      </c>
      <c r="G907" s="36">
        <v>1825800</v>
      </c>
      <c r="H907" s="34">
        <v>3100</v>
      </c>
      <c r="I907" s="7" t="s">
        <v>141</v>
      </c>
      <c r="J907" s="6">
        <v>637559.93000000005</v>
      </c>
      <c r="K907" s="6">
        <v>637559.93000000005</v>
      </c>
      <c r="L907" s="6">
        <v>637559.93000000005</v>
      </c>
      <c r="M907" s="28">
        <v>297</v>
      </c>
      <c r="N907" s="5" t="s">
        <v>269</v>
      </c>
      <c r="O907" s="29" t="s">
        <v>245</v>
      </c>
      <c r="P907" s="29" t="s">
        <v>245</v>
      </c>
      <c r="Q907" s="29" t="s">
        <v>245</v>
      </c>
      <c r="R907" s="39">
        <v>43018</v>
      </c>
      <c r="S907" s="31" t="s">
        <v>246</v>
      </c>
      <c r="T907" s="32">
        <v>2017</v>
      </c>
      <c r="U907" s="40">
        <v>43008</v>
      </c>
      <c r="V907" s="32"/>
    </row>
    <row r="908" spans="1:22" ht="19.5" customHeight="1" x14ac:dyDescent="0.3">
      <c r="A908" s="34">
        <v>2017</v>
      </c>
      <c r="B908" s="35">
        <v>42917</v>
      </c>
      <c r="C908" s="34">
        <v>3000</v>
      </c>
      <c r="D908" s="12" t="s">
        <v>142</v>
      </c>
      <c r="E908" s="6">
        <v>11067495.720000001</v>
      </c>
      <c r="F908" s="6">
        <v>11067495.720000001</v>
      </c>
      <c r="G908" s="36">
        <v>11067495.720000001</v>
      </c>
      <c r="H908" s="34">
        <v>3200</v>
      </c>
      <c r="I908" s="12" t="s">
        <v>142</v>
      </c>
      <c r="J908" s="6">
        <v>6226474.5599999996</v>
      </c>
      <c r="K908" s="6">
        <v>6226474.5599999996</v>
      </c>
      <c r="L908" s="6">
        <v>6226474.5599999996</v>
      </c>
      <c r="M908" s="37">
        <v>298</v>
      </c>
      <c r="N908" s="5" t="s">
        <v>269</v>
      </c>
      <c r="O908" s="29" t="s">
        <v>245</v>
      </c>
      <c r="P908" s="29" t="s">
        <v>245</v>
      </c>
      <c r="Q908" s="29" t="s">
        <v>245</v>
      </c>
      <c r="R908" s="39">
        <v>43018</v>
      </c>
      <c r="S908" s="31" t="s">
        <v>246</v>
      </c>
      <c r="T908" s="32">
        <v>2017</v>
      </c>
      <c r="U908" s="40">
        <v>43008</v>
      </c>
      <c r="V908" s="32"/>
    </row>
    <row r="909" spans="1:22" ht="19.5" customHeight="1" x14ac:dyDescent="0.3">
      <c r="A909" s="34">
        <v>2017</v>
      </c>
      <c r="B909" s="35">
        <v>42917</v>
      </c>
      <c r="C909" s="34">
        <v>3000</v>
      </c>
      <c r="D909" s="12" t="s">
        <v>143</v>
      </c>
      <c r="E909" s="6">
        <v>113000</v>
      </c>
      <c r="F909" s="6">
        <v>113000</v>
      </c>
      <c r="G909" s="36">
        <v>77604</v>
      </c>
      <c r="H909" s="34">
        <v>3200</v>
      </c>
      <c r="I909" s="12" t="s">
        <v>143</v>
      </c>
      <c r="J909" s="6">
        <v>0</v>
      </c>
      <c r="K909" s="6">
        <v>0</v>
      </c>
      <c r="L909" s="6">
        <v>0</v>
      </c>
      <c r="M909" s="28">
        <v>299</v>
      </c>
      <c r="N909" s="5" t="s">
        <v>269</v>
      </c>
      <c r="O909" s="29" t="s">
        <v>245</v>
      </c>
      <c r="P909" s="29" t="s">
        <v>245</v>
      </c>
      <c r="Q909" s="29" t="s">
        <v>245</v>
      </c>
      <c r="R909" s="39">
        <v>43018</v>
      </c>
      <c r="S909" s="31" t="s">
        <v>246</v>
      </c>
      <c r="T909" s="32">
        <v>2017</v>
      </c>
      <c r="U909" s="40">
        <v>43008</v>
      </c>
      <c r="V909" s="32"/>
    </row>
    <row r="910" spans="1:22" ht="19.5" customHeight="1" x14ac:dyDescent="0.3">
      <c r="A910" s="34">
        <v>2017</v>
      </c>
      <c r="B910" s="35">
        <v>42917</v>
      </c>
      <c r="C910" s="34">
        <v>3000</v>
      </c>
      <c r="D910" s="12" t="s">
        <v>144</v>
      </c>
      <c r="E910" s="6">
        <v>0</v>
      </c>
      <c r="F910" s="6">
        <v>65000</v>
      </c>
      <c r="G910" s="36">
        <v>47500</v>
      </c>
      <c r="H910" s="34">
        <v>3200</v>
      </c>
      <c r="I910" s="12" t="s">
        <v>144</v>
      </c>
      <c r="J910" s="6">
        <v>31320</v>
      </c>
      <c r="K910" s="6">
        <v>31320</v>
      </c>
      <c r="L910" s="6">
        <v>31320</v>
      </c>
      <c r="M910" s="37">
        <v>300</v>
      </c>
      <c r="N910" s="5" t="s">
        <v>269</v>
      </c>
      <c r="O910" s="29" t="s">
        <v>245</v>
      </c>
      <c r="P910" s="29" t="s">
        <v>245</v>
      </c>
      <c r="Q910" s="29" t="s">
        <v>245</v>
      </c>
      <c r="R910" s="39">
        <v>43018</v>
      </c>
      <c r="S910" s="31" t="s">
        <v>246</v>
      </c>
      <c r="T910" s="32">
        <v>2017</v>
      </c>
      <c r="U910" s="40">
        <v>43008</v>
      </c>
      <c r="V910" s="32"/>
    </row>
    <row r="911" spans="1:22" ht="19.5" customHeight="1" x14ac:dyDescent="0.3">
      <c r="A911" s="34">
        <v>2017</v>
      </c>
      <c r="B911" s="35">
        <v>42917</v>
      </c>
      <c r="C911" s="34">
        <v>3000</v>
      </c>
      <c r="D911" s="12" t="s">
        <v>145</v>
      </c>
      <c r="E911" s="6">
        <v>142645</v>
      </c>
      <c r="F911" s="6">
        <v>116974.5</v>
      </c>
      <c r="G911" s="36">
        <v>118207</v>
      </c>
      <c r="H911" s="34">
        <v>3200</v>
      </c>
      <c r="I911" s="12" t="s">
        <v>145</v>
      </c>
      <c r="J911" s="6">
        <v>78166.55</v>
      </c>
      <c r="K911" s="6">
        <v>78166.55</v>
      </c>
      <c r="L911" s="6">
        <v>78166.55</v>
      </c>
      <c r="M911" s="28">
        <v>301</v>
      </c>
      <c r="N911" s="5" t="s">
        <v>269</v>
      </c>
      <c r="O911" s="29" t="s">
        <v>245</v>
      </c>
      <c r="P911" s="29" t="s">
        <v>245</v>
      </c>
      <c r="Q911" s="29" t="s">
        <v>245</v>
      </c>
      <c r="R911" s="39">
        <v>43018</v>
      </c>
      <c r="S911" s="31" t="s">
        <v>246</v>
      </c>
      <c r="T911" s="32">
        <v>2017</v>
      </c>
      <c r="U911" s="40">
        <v>43008</v>
      </c>
      <c r="V911" s="32"/>
    </row>
    <row r="912" spans="1:22" ht="19.5" customHeight="1" x14ac:dyDescent="0.3">
      <c r="A912" s="34">
        <v>2017</v>
      </c>
      <c r="B912" s="35">
        <v>42917</v>
      </c>
      <c r="C912" s="34">
        <v>3000</v>
      </c>
      <c r="D912" s="12" t="s">
        <v>146</v>
      </c>
      <c r="E912" s="6">
        <v>45000</v>
      </c>
      <c r="F912" s="6">
        <v>43000</v>
      </c>
      <c r="G912" s="36">
        <v>36564</v>
      </c>
      <c r="H912" s="34">
        <v>3200</v>
      </c>
      <c r="I912" s="12" t="s">
        <v>146</v>
      </c>
      <c r="J912" s="6">
        <v>8468</v>
      </c>
      <c r="K912" s="6">
        <v>8468</v>
      </c>
      <c r="L912" s="6">
        <v>8468</v>
      </c>
      <c r="M912" s="37">
        <v>302</v>
      </c>
      <c r="N912" s="5" t="s">
        <v>269</v>
      </c>
      <c r="O912" s="29" t="s">
        <v>245</v>
      </c>
      <c r="P912" s="29" t="s">
        <v>245</v>
      </c>
      <c r="Q912" s="29" t="s">
        <v>245</v>
      </c>
      <c r="R912" s="39">
        <v>43018</v>
      </c>
      <c r="S912" s="31" t="s">
        <v>246</v>
      </c>
      <c r="T912" s="32">
        <v>2017</v>
      </c>
      <c r="U912" s="40">
        <v>43008</v>
      </c>
      <c r="V912" s="32"/>
    </row>
    <row r="913" spans="1:22" ht="19.5" customHeight="1" x14ac:dyDescent="0.3">
      <c r="A913" s="34">
        <v>2017</v>
      </c>
      <c r="B913" s="35">
        <v>42917</v>
      </c>
      <c r="C913" s="34">
        <v>3000</v>
      </c>
      <c r="D913" s="12" t="s">
        <v>147</v>
      </c>
      <c r="E913" s="6">
        <v>1645000</v>
      </c>
      <c r="F913" s="6">
        <v>4600000</v>
      </c>
      <c r="G913" s="36">
        <v>2967159.98</v>
      </c>
      <c r="H913" s="34">
        <v>3300</v>
      </c>
      <c r="I913" s="12" t="s">
        <v>147</v>
      </c>
      <c r="J913" s="6">
        <v>203169.8</v>
      </c>
      <c r="K913" s="6">
        <v>203169.8</v>
      </c>
      <c r="L913" s="6">
        <v>203169.8</v>
      </c>
      <c r="M913" s="28">
        <v>303</v>
      </c>
      <c r="N913" s="5" t="s">
        <v>269</v>
      </c>
      <c r="O913" s="29" t="s">
        <v>245</v>
      </c>
      <c r="P913" s="29" t="s">
        <v>245</v>
      </c>
      <c r="Q913" s="29" t="s">
        <v>245</v>
      </c>
      <c r="R913" s="39">
        <v>43018</v>
      </c>
      <c r="S913" s="31" t="s">
        <v>246</v>
      </c>
      <c r="T913" s="32">
        <v>2017</v>
      </c>
      <c r="U913" s="40">
        <v>43008</v>
      </c>
      <c r="V913" s="32"/>
    </row>
    <row r="914" spans="1:22" ht="19.5" customHeight="1" x14ac:dyDescent="0.3">
      <c r="A914" s="34">
        <v>2017</v>
      </c>
      <c r="B914" s="35">
        <v>42917</v>
      </c>
      <c r="C914" s="34">
        <v>3000</v>
      </c>
      <c r="D914" s="12" t="s">
        <v>148</v>
      </c>
      <c r="E914" s="6">
        <v>1483653</v>
      </c>
      <c r="F914" s="6">
        <v>36983</v>
      </c>
      <c r="G914" s="36">
        <v>36982.519999999997</v>
      </c>
      <c r="H914" s="34">
        <v>3300</v>
      </c>
      <c r="I914" s="12" t="s">
        <v>148</v>
      </c>
      <c r="J914" s="6">
        <v>14000</v>
      </c>
      <c r="K914" s="6">
        <v>14000</v>
      </c>
      <c r="L914" s="6">
        <v>14000</v>
      </c>
      <c r="M914" s="37">
        <v>304</v>
      </c>
      <c r="N914" s="5" t="s">
        <v>269</v>
      </c>
      <c r="O914" s="29" t="s">
        <v>245</v>
      </c>
      <c r="P914" s="29" t="s">
        <v>245</v>
      </c>
      <c r="Q914" s="29" t="s">
        <v>245</v>
      </c>
      <c r="R914" s="39">
        <v>43018</v>
      </c>
      <c r="S914" s="31" t="s">
        <v>246</v>
      </c>
      <c r="T914" s="32">
        <v>2017</v>
      </c>
      <c r="U914" s="40">
        <v>43008</v>
      </c>
      <c r="V914" s="32"/>
    </row>
    <row r="915" spans="1:22" ht="19.5" customHeight="1" x14ac:dyDescent="0.3">
      <c r="A915" s="34">
        <v>2017</v>
      </c>
      <c r="B915" s="35">
        <v>42917</v>
      </c>
      <c r="C915" s="34">
        <v>3000</v>
      </c>
      <c r="D915" s="12" t="s">
        <v>149</v>
      </c>
      <c r="E915" s="6">
        <v>2639100</v>
      </c>
      <c r="F915" s="6">
        <v>3365201.94</v>
      </c>
      <c r="G915" s="36">
        <v>3254019.37</v>
      </c>
      <c r="H915" s="34">
        <v>3300</v>
      </c>
      <c r="I915" s="12" t="s">
        <v>149</v>
      </c>
      <c r="J915" s="6">
        <v>1316730.98</v>
      </c>
      <c r="K915" s="6">
        <v>1316730.98</v>
      </c>
      <c r="L915" s="6">
        <v>1316730.98</v>
      </c>
      <c r="M915" s="28">
        <v>305</v>
      </c>
      <c r="N915" s="5" t="s">
        <v>269</v>
      </c>
      <c r="O915" s="29" t="s">
        <v>245</v>
      </c>
      <c r="P915" s="29" t="s">
        <v>245</v>
      </c>
      <c r="Q915" s="29" t="s">
        <v>245</v>
      </c>
      <c r="R915" s="39">
        <v>43018</v>
      </c>
      <c r="S915" s="31" t="s">
        <v>246</v>
      </c>
      <c r="T915" s="32">
        <v>2017</v>
      </c>
      <c r="U915" s="40">
        <v>43008</v>
      </c>
      <c r="V915" s="32"/>
    </row>
    <row r="916" spans="1:22" ht="19.5" customHeight="1" x14ac:dyDescent="0.3">
      <c r="A916" s="34">
        <v>2017</v>
      </c>
      <c r="B916" s="35">
        <v>42917</v>
      </c>
      <c r="C916" s="34">
        <v>3000</v>
      </c>
      <c r="D916" s="12" t="s">
        <v>150</v>
      </c>
      <c r="E916" s="6">
        <v>940365</v>
      </c>
      <c r="F916" s="6">
        <v>866754.6</v>
      </c>
      <c r="G916" s="36">
        <v>942096.85999999987</v>
      </c>
      <c r="H916" s="34">
        <v>3300</v>
      </c>
      <c r="I916" s="12" t="s">
        <v>150</v>
      </c>
      <c r="J916" s="6">
        <v>41320</v>
      </c>
      <c r="K916" s="6">
        <v>41320</v>
      </c>
      <c r="L916" s="6">
        <v>41320</v>
      </c>
      <c r="M916" s="37">
        <v>306</v>
      </c>
      <c r="N916" s="5" t="s">
        <v>269</v>
      </c>
      <c r="O916" s="29" t="s">
        <v>245</v>
      </c>
      <c r="P916" s="29" t="s">
        <v>245</v>
      </c>
      <c r="Q916" s="29" t="s">
        <v>245</v>
      </c>
      <c r="R916" s="39">
        <v>43018</v>
      </c>
      <c r="S916" s="31" t="s">
        <v>246</v>
      </c>
      <c r="T916" s="32">
        <v>2017</v>
      </c>
      <c r="U916" s="40">
        <v>43008</v>
      </c>
      <c r="V916" s="32"/>
    </row>
    <row r="917" spans="1:22" ht="19.5" customHeight="1" x14ac:dyDescent="0.3">
      <c r="A917" s="34">
        <v>2017</v>
      </c>
      <c r="B917" s="35">
        <v>42917</v>
      </c>
      <c r="C917" s="34">
        <v>3000</v>
      </c>
      <c r="D917" s="12" t="s">
        <v>151</v>
      </c>
      <c r="E917" s="6">
        <v>975577.63</v>
      </c>
      <c r="F917" s="6">
        <v>201031.12</v>
      </c>
      <c r="G917" s="36">
        <v>175967.97</v>
      </c>
      <c r="H917" s="34">
        <v>3300</v>
      </c>
      <c r="I917" s="12" t="s">
        <v>151</v>
      </c>
      <c r="J917" s="6">
        <v>0</v>
      </c>
      <c r="K917" s="6">
        <v>0</v>
      </c>
      <c r="L917" s="6">
        <v>0</v>
      </c>
      <c r="M917" s="28">
        <v>307</v>
      </c>
      <c r="N917" s="5" t="s">
        <v>269</v>
      </c>
      <c r="O917" s="29" t="s">
        <v>245</v>
      </c>
      <c r="P917" s="29" t="s">
        <v>245</v>
      </c>
      <c r="Q917" s="29" t="s">
        <v>245</v>
      </c>
      <c r="R917" s="39">
        <v>43018</v>
      </c>
      <c r="S917" s="31" t="s">
        <v>246</v>
      </c>
      <c r="T917" s="32">
        <v>2017</v>
      </c>
      <c r="U917" s="40">
        <v>43008</v>
      </c>
      <c r="V917" s="32"/>
    </row>
    <row r="918" spans="1:22" ht="19.5" customHeight="1" x14ac:dyDescent="0.3">
      <c r="A918" s="34">
        <v>2017</v>
      </c>
      <c r="B918" s="35">
        <v>42917</v>
      </c>
      <c r="C918" s="34">
        <v>3000</v>
      </c>
      <c r="D918" s="12" t="s">
        <v>152</v>
      </c>
      <c r="E918" s="6">
        <v>956024.29</v>
      </c>
      <c r="F918" s="6">
        <v>958390.6</v>
      </c>
      <c r="G918" s="36">
        <v>958390.59999999986</v>
      </c>
      <c r="H918" s="34">
        <v>3300</v>
      </c>
      <c r="I918" s="12" t="s">
        <v>152</v>
      </c>
      <c r="J918" s="6">
        <v>212870.18</v>
      </c>
      <c r="K918" s="6">
        <v>212870.18</v>
      </c>
      <c r="L918" s="6">
        <v>212870.18</v>
      </c>
      <c r="M918" s="37">
        <v>308</v>
      </c>
      <c r="N918" s="5" t="s">
        <v>269</v>
      </c>
      <c r="O918" s="29" t="s">
        <v>245</v>
      </c>
      <c r="P918" s="29" t="s">
        <v>245</v>
      </c>
      <c r="Q918" s="29" t="s">
        <v>245</v>
      </c>
      <c r="R918" s="39">
        <v>43018</v>
      </c>
      <c r="S918" s="31" t="s">
        <v>246</v>
      </c>
      <c r="T918" s="32">
        <v>2017</v>
      </c>
      <c r="U918" s="40">
        <v>43008</v>
      </c>
      <c r="V918" s="32"/>
    </row>
    <row r="919" spans="1:22" ht="19.5" customHeight="1" x14ac:dyDescent="0.3">
      <c r="A919" s="34">
        <v>2017</v>
      </c>
      <c r="B919" s="35">
        <v>42917</v>
      </c>
      <c r="C919" s="34">
        <v>3000</v>
      </c>
      <c r="D919" s="12" t="s">
        <v>153</v>
      </c>
      <c r="E919" s="6">
        <v>906088</v>
      </c>
      <c r="F919" s="6">
        <v>1002297.62</v>
      </c>
      <c r="G919" s="36">
        <v>881784.05</v>
      </c>
      <c r="H919" s="34">
        <v>3300</v>
      </c>
      <c r="I919" s="12" t="s">
        <v>153</v>
      </c>
      <c r="J919" s="6">
        <v>8086.4</v>
      </c>
      <c r="K919" s="6">
        <v>8086.4</v>
      </c>
      <c r="L919" s="6">
        <v>8086.4</v>
      </c>
      <c r="M919" s="28">
        <v>309</v>
      </c>
      <c r="N919" s="5" t="s">
        <v>269</v>
      </c>
      <c r="O919" s="29" t="s">
        <v>245</v>
      </c>
      <c r="P919" s="29" t="s">
        <v>245</v>
      </c>
      <c r="Q919" s="29" t="s">
        <v>245</v>
      </c>
      <c r="R919" s="39">
        <v>43018</v>
      </c>
      <c r="S919" s="31" t="s">
        <v>246</v>
      </c>
      <c r="T919" s="32">
        <v>2017</v>
      </c>
      <c r="U919" s="40">
        <v>43008</v>
      </c>
      <c r="V919" s="32"/>
    </row>
    <row r="920" spans="1:22" ht="19.5" customHeight="1" x14ac:dyDescent="0.3">
      <c r="A920" s="34">
        <v>2017</v>
      </c>
      <c r="B920" s="35">
        <v>42917</v>
      </c>
      <c r="C920" s="34">
        <v>3000</v>
      </c>
      <c r="D920" s="12" t="s">
        <v>154</v>
      </c>
      <c r="E920" s="6">
        <v>26138849.039999999</v>
      </c>
      <c r="F920" s="6">
        <v>24471349.039999999</v>
      </c>
      <c r="G920" s="36">
        <v>24338849.039999999</v>
      </c>
      <c r="H920" s="34">
        <v>3300</v>
      </c>
      <c r="I920" s="12" t="s">
        <v>154</v>
      </c>
      <c r="J920" s="6">
        <v>11862916.82</v>
      </c>
      <c r="K920" s="6">
        <v>11862916.82</v>
      </c>
      <c r="L920" s="6">
        <v>11862916.82</v>
      </c>
      <c r="M920" s="37">
        <v>310</v>
      </c>
      <c r="N920" s="5" t="s">
        <v>269</v>
      </c>
      <c r="O920" s="29" t="s">
        <v>245</v>
      </c>
      <c r="P920" s="29" t="s">
        <v>245</v>
      </c>
      <c r="Q920" s="29" t="s">
        <v>245</v>
      </c>
      <c r="R920" s="39">
        <v>43018</v>
      </c>
      <c r="S920" s="31" t="s">
        <v>246</v>
      </c>
      <c r="T920" s="32">
        <v>2017</v>
      </c>
      <c r="U920" s="40">
        <v>43008</v>
      </c>
      <c r="V920" s="32"/>
    </row>
    <row r="921" spans="1:22" ht="19.5" customHeight="1" x14ac:dyDescent="0.3">
      <c r="A921" s="34">
        <v>2017</v>
      </c>
      <c r="B921" s="35">
        <v>42917</v>
      </c>
      <c r="C921" s="34">
        <v>3000</v>
      </c>
      <c r="D921" s="12" t="s">
        <v>155</v>
      </c>
      <c r="E921" s="6">
        <v>6068622.0199999996</v>
      </c>
      <c r="F921" s="6">
        <v>6329700.1900000004</v>
      </c>
      <c r="G921" s="36">
        <v>6241989.1800000006</v>
      </c>
      <c r="H921" s="34">
        <v>3300</v>
      </c>
      <c r="I921" s="12" t="s">
        <v>155</v>
      </c>
      <c r="J921" s="6">
        <v>670538</v>
      </c>
      <c r="K921" s="6">
        <v>670538</v>
      </c>
      <c r="L921" s="6">
        <v>670538</v>
      </c>
      <c r="M921" s="28">
        <v>311</v>
      </c>
      <c r="N921" s="5" t="s">
        <v>269</v>
      </c>
      <c r="O921" s="29" t="s">
        <v>245</v>
      </c>
      <c r="P921" s="29" t="s">
        <v>245</v>
      </c>
      <c r="Q921" s="29" t="s">
        <v>245</v>
      </c>
      <c r="R921" s="39">
        <v>43018</v>
      </c>
      <c r="S921" s="31" t="s">
        <v>246</v>
      </c>
      <c r="T921" s="32">
        <v>2017</v>
      </c>
      <c r="U921" s="40">
        <v>43008</v>
      </c>
      <c r="V921" s="32"/>
    </row>
    <row r="922" spans="1:22" ht="19.5" customHeight="1" x14ac:dyDescent="0.3">
      <c r="A922" s="34">
        <v>2017</v>
      </c>
      <c r="B922" s="35">
        <v>42917</v>
      </c>
      <c r="C922" s="34">
        <v>3000</v>
      </c>
      <c r="D922" s="12" t="s">
        <v>157</v>
      </c>
      <c r="E922" s="6">
        <v>2627929.5</v>
      </c>
      <c r="F922" s="6">
        <v>2627929.5</v>
      </c>
      <c r="G922" s="36">
        <v>2365430</v>
      </c>
      <c r="H922" s="34">
        <v>3400</v>
      </c>
      <c r="I922" s="12" t="s">
        <v>157</v>
      </c>
      <c r="J922" s="6">
        <v>896974.58</v>
      </c>
      <c r="K922" s="6">
        <v>896974.58</v>
      </c>
      <c r="L922" s="6">
        <v>896974.58</v>
      </c>
      <c r="M922" s="37">
        <v>312</v>
      </c>
      <c r="N922" s="5" t="s">
        <v>269</v>
      </c>
      <c r="O922" s="29" t="s">
        <v>245</v>
      </c>
      <c r="P922" s="29" t="s">
        <v>245</v>
      </c>
      <c r="Q922" s="29" t="s">
        <v>245</v>
      </c>
      <c r="R922" s="39">
        <v>43018</v>
      </c>
      <c r="S922" s="31" t="s">
        <v>246</v>
      </c>
      <c r="T922" s="32">
        <v>2017</v>
      </c>
      <c r="U922" s="40">
        <v>43008</v>
      </c>
      <c r="V922" s="32"/>
    </row>
    <row r="923" spans="1:22" ht="19.5" customHeight="1" x14ac:dyDescent="0.3">
      <c r="A923" s="34">
        <v>2017</v>
      </c>
      <c r="B923" s="35">
        <v>42917</v>
      </c>
      <c r="C923" s="34">
        <v>3000</v>
      </c>
      <c r="D923" s="12" t="s">
        <v>159</v>
      </c>
      <c r="E923" s="6">
        <v>330000</v>
      </c>
      <c r="F923" s="6">
        <v>350</v>
      </c>
      <c r="G923" s="36">
        <v>350</v>
      </c>
      <c r="H923" s="34">
        <v>3400</v>
      </c>
      <c r="I923" s="12" t="s">
        <v>159</v>
      </c>
      <c r="J923" s="6">
        <v>350</v>
      </c>
      <c r="K923" s="6">
        <v>350</v>
      </c>
      <c r="L923" s="6">
        <v>350</v>
      </c>
      <c r="M923" s="28">
        <v>313</v>
      </c>
      <c r="N923" s="5" t="s">
        <v>269</v>
      </c>
      <c r="O923" s="29" t="s">
        <v>245</v>
      </c>
      <c r="P923" s="29" t="s">
        <v>245</v>
      </c>
      <c r="Q923" s="29" t="s">
        <v>245</v>
      </c>
      <c r="R923" s="39">
        <v>43018</v>
      </c>
      <c r="S923" s="31" t="s">
        <v>246</v>
      </c>
      <c r="T923" s="32">
        <v>2017</v>
      </c>
      <c r="U923" s="40">
        <v>43008</v>
      </c>
      <c r="V923" s="32"/>
    </row>
    <row r="924" spans="1:22" ht="19.5" customHeight="1" x14ac:dyDescent="0.3">
      <c r="A924" s="34">
        <v>2017</v>
      </c>
      <c r="B924" s="35">
        <v>42917</v>
      </c>
      <c r="C924" s="34">
        <v>3000</v>
      </c>
      <c r="D924" s="12" t="s">
        <v>260</v>
      </c>
      <c r="E924" s="6">
        <v>33000</v>
      </c>
      <c r="F924" s="6">
        <v>15000</v>
      </c>
      <c r="G924" s="36">
        <v>15000</v>
      </c>
      <c r="H924" s="34">
        <v>3400</v>
      </c>
      <c r="I924" s="12" t="s">
        <v>260</v>
      </c>
      <c r="J924" s="6">
        <v>3151.61</v>
      </c>
      <c r="K924" s="6">
        <v>3151.61</v>
      </c>
      <c r="L924" s="6">
        <v>3151.61</v>
      </c>
      <c r="M924" s="37">
        <v>314</v>
      </c>
      <c r="N924" s="5" t="s">
        <v>269</v>
      </c>
      <c r="O924" s="29" t="s">
        <v>245</v>
      </c>
      <c r="P924" s="29" t="s">
        <v>245</v>
      </c>
      <c r="Q924" s="29" t="s">
        <v>245</v>
      </c>
      <c r="R924" s="39">
        <v>43018</v>
      </c>
      <c r="S924" s="31" t="s">
        <v>246</v>
      </c>
      <c r="T924" s="32">
        <v>2017</v>
      </c>
      <c r="U924" s="40">
        <v>43008</v>
      </c>
      <c r="V924" s="32"/>
    </row>
    <row r="925" spans="1:22" ht="19.5" customHeight="1" x14ac:dyDescent="0.3">
      <c r="A925" s="34">
        <v>2017</v>
      </c>
      <c r="B925" s="35">
        <v>42917</v>
      </c>
      <c r="C925" s="34">
        <v>3000</v>
      </c>
      <c r="D925" s="12" t="s">
        <v>161</v>
      </c>
      <c r="E925" s="6">
        <v>22000</v>
      </c>
      <c r="F925" s="6">
        <v>64565.04</v>
      </c>
      <c r="G925" s="36">
        <v>60498.640000000007</v>
      </c>
      <c r="H925" s="34">
        <v>3500</v>
      </c>
      <c r="I925" s="12" t="s">
        <v>161</v>
      </c>
      <c r="J925" s="6">
        <v>15799.2</v>
      </c>
      <c r="K925" s="6">
        <v>15799.2</v>
      </c>
      <c r="L925" s="6">
        <v>15799.2</v>
      </c>
      <c r="M925" s="28">
        <v>315</v>
      </c>
      <c r="N925" s="5" t="s">
        <v>269</v>
      </c>
      <c r="O925" s="29" t="s">
        <v>245</v>
      </c>
      <c r="P925" s="29" t="s">
        <v>245</v>
      </c>
      <c r="Q925" s="29" t="s">
        <v>245</v>
      </c>
      <c r="R925" s="39">
        <v>43018</v>
      </c>
      <c r="S925" s="31" t="s">
        <v>246</v>
      </c>
      <c r="T925" s="32">
        <v>2017</v>
      </c>
      <c r="U925" s="40">
        <v>43008</v>
      </c>
      <c r="V925" s="32"/>
    </row>
    <row r="926" spans="1:22" ht="19.5" customHeight="1" x14ac:dyDescent="0.3">
      <c r="A926" s="34">
        <v>2017</v>
      </c>
      <c r="B926" s="35">
        <v>42917</v>
      </c>
      <c r="C926" s="34">
        <v>3000</v>
      </c>
      <c r="D926" s="12" t="s">
        <v>162</v>
      </c>
      <c r="E926" s="6">
        <v>4695680</v>
      </c>
      <c r="F926" s="6">
        <v>4718613</v>
      </c>
      <c r="G926" s="36">
        <v>4716613</v>
      </c>
      <c r="H926" s="34">
        <v>3500</v>
      </c>
      <c r="I926" s="12" t="s">
        <v>162</v>
      </c>
      <c r="J926" s="6">
        <v>4646949.63</v>
      </c>
      <c r="K926" s="6">
        <v>4646949.63</v>
      </c>
      <c r="L926" s="6">
        <v>4646949.63</v>
      </c>
      <c r="M926" s="37">
        <v>316</v>
      </c>
      <c r="N926" s="5" t="s">
        <v>269</v>
      </c>
      <c r="O926" s="29" t="s">
        <v>245</v>
      </c>
      <c r="P926" s="29" t="s">
        <v>245</v>
      </c>
      <c r="Q926" s="29" t="s">
        <v>245</v>
      </c>
      <c r="R926" s="39">
        <v>43018</v>
      </c>
      <c r="S926" s="31" t="s">
        <v>246</v>
      </c>
      <c r="T926" s="32">
        <v>2017</v>
      </c>
      <c r="U926" s="40">
        <v>43008</v>
      </c>
      <c r="V926" s="32"/>
    </row>
    <row r="927" spans="1:22" ht="19.5" customHeight="1" x14ac:dyDescent="0.3">
      <c r="A927" s="34">
        <v>2017</v>
      </c>
      <c r="B927" s="35">
        <v>42917</v>
      </c>
      <c r="C927" s="34">
        <v>3000</v>
      </c>
      <c r="D927" s="12" t="s">
        <v>163</v>
      </c>
      <c r="E927" s="6">
        <v>350000</v>
      </c>
      <c r="F927" s="6">
        <v>542600.4</v>
      </c>
      <c r="G927" s="36">
        <v>522691.04</v>
      </c>
      <c r="H927" s="34">
        <v>3500</v>
      </c>
      <c r="I927" s="12" t="s">
        <v>163</v>
      </c>
      <c r="J927" s="6">
        <v>0</v>
      </c>
      <c r="K927" s="6">
        <v>0</v>
      </c>
      <c r="L927" s="6">
        <v>0</v>
      </c>
      <c r="M927" s="28">
        <v>317</v>
      </c>
      <c r="N927" s="5" t="s">
        <v>269</v>
      </c>
      <c r="O927" s="29" t="s">
        <v>245</v>
      </c>
      <c r="P927" s="29" t="s">
        <v>245</v>
      </c>
      <c r="Q927" s="29" t="s">
        <v>245</v>
      </c>
      <c r="R927" s="39">
        <v>43018</v>
      </c>
      <c r="S927" s="31" t="s">
        <v>246</v>
      </c>
      <c r="T927" s="32">
        <v>2017</v>
      </c>
      <c r="U927" s="40">
        <v>43008</v>
      </c>
      <c r="V927" s="32"/>
    </row>
    <row r="928" spans="1:22" ht="19.5" customHeight="1" x14ac:dyDescent="0.3">
      <c r="A928" s="34">
        <v>2017</v>
      </c>
      <c r="B928" s="35">
        <v>42917</v>
      </c>
      <c r="C928" s="34">
        <v>3000</v>
      </c>
      <c r="D928" s="12" t="s">
        <v>164</v>
      </c>
      <c r="E928" s="6">
        <v>483437.5</v>
      </c>
      <c r="F928" s="6">
        <v>483437.5</v>
      </c>
      <c r="G928" s="36">
        <v>483437.5</v>
      </c>
      <c r="H928" s="34">
        <v>3500</v>
      </c>
      <c r="I928" s="12" t="s">
        <v>164</v>
      </c>
      <c r="J928" s="6">
        <v>219701.17</v>
      </c>
      <c r="K928" s="6">
        <v>219701.17</v>
      </c>
      <c r="L928" s="6">
        <v>219701.17</v>
      </c>
      <c r="M928" s="37">
        <v>318</v>
      </c>
      <c r="N928" s="5" t="s">
        <v>269</v>
      </c>
      <c r="O928" s="29" t="s">
        <v>245</v>
      </c>
      <c r="P928" s="29" t="s">
        <v>245</v>
      </c>
      <c r="Q928" s="29" t="s">
        <v>245</v>
      </c>
      <c r="R928" s="39">
        <v>43018</v>
      </c>
      <c r="S928" s="31" t="s">
        <v>246</v>
      </c>
      <c r="T928" s="32">
        <v>2017</v>
      </c>
      <c r="U928" s="40">
        <v>43008</v>
      </c>
      <c r="V928" s="32"/>
    </row>
    <row r="929" spans="1:22" ht="19.5" customHeight="1" x14ac:dyDescent="0.3">
      <c r="A929" s="34">
        <v>2017</v>
      </c>
      <c r="B929" s="35">
        <v>42917</v>
      </c>
      <c r="C929" s="34">
        <v>3000</v>
      </c>
      <c r="D929" s="12" t="s">
        <v>165</v>
      </c>
      <c r="E929" s="6">
        <v>445000</v>
      </c>
      <c r="F929" s="6">
        <v>370880</v>
      </c>
      <c r="G929" s="36">
        <v>370665.95</v>
      </c>
      <c r="H929" s="34">
        <v>3500</v>
      </c>
      <c r="I929" s="12" t="s">
        <v>165</v>
      </c>
      <c r="J929" s="6">
        <v>92585.26</v>
      </c>
      <c r="K929" s="6">
        <v>92585.26</v>
      </c>
      <c r="L929" s="6">
        <v>92585.26</v>
      </c>
      <c r="M929" s="28">
        <v>319</v>
      </c>
      <c r="N929" s="5" t="s">
        <v>269</v>
      </c>
      <c r="O929" s="29" t="s">
        <v>245</v>
      </c>
      <c r="P929" s="29" t="s">
        <v>245</v>
      </c>
      <c r="Q929" s="29" t="s">
        <v>245</v>
      </c>
      <c r="R929" s="39">
        <v>43018</v>
      </c>
      <c r="S929" s="31" t="s">
        <v>246</v>
      </c>
      <c r="T929" s="32">
        <v>2017</v>
      </c>
      <c r="U929" s="40">
        <v>43008</v>
      </c>
      <c r="V929" s="32"/>
    </row>
    <row r="930" spans="1:22" ht="19.5" customHeight="1" x14ac:dyDescent="0.3">
      <c r="A930" s="34">
        <v>2017</v>
      </c>
      <c r="B930" s="35">
        <v>42917</v>
      </c>
      <c r="C930" s="34">
        <v>3000</v>
      </c>
      <c r="D930" s="12" t="s">
        <v>166</v>
      </c>
      <c r="E930" s="6">
        <v>7896000</v>
      </c>
      <c r="F930" s="6">
        <v>7891028.5999999996</v>
      </c>
      <c r="G930" s="36">
        <v>4137205.93</v>
      </c>
      <c r="H930" s="34">
        <v>3500</v>
      </c>
      <c r="I930" s="12" t="s">
        <v>166</v>
      </c>
      <c r="J930" s="6">
        <v>252210.68</v>
      </c>
      <c r="K930" s="6">
        <v>252210.68</v>
      </c>
      <c r="L930" s="6">
        <v>252210.68</v>
      </c>
      <c r="M930" s="37">
        <v>320</v>
      </c>
      <c r="N930" s="5" t="s">
        <v>269</v>
      </c>
      <c r="O930" s="29" t="s">
        <v>245</v>
      </c>
      <c r="P930" s="29" t="s">
        <v>245</v>
      </c>
      <c r="Q930" s="29" t="s">
        <v>245</v>
      </c>
      <c r="R930" s="39">
        <v>43018</v>
      </c>
      <c r="S930" s="31" t="s">
        <v>246</v>
      </c>
      <c r="T930" s="32">
        <v>2017</v>
      </c>
      <c r="U930" s="40">
        <v>43008</v>
      </c>
      <c r="V930" s="32"/>
    </row>
    <row r="931" spans="1:22" ht="19.5" customHeight="1" x14ac:dyDescent="0.3">
      <c r="A931" s="34">
        <v>2017</v>
      </c>
      <c r="B931" s="35">
        <v>42917</v>
      </c>
      <c r="C931" s="34">
        <v>3000</v>
      </c>
      <c r="D931" s="12" t="s">
        <v>167</v>
      </c>
      <c r="E931" s="6">
        <v>23000</v>
      </c>
      <c r="F931" s="6">
        <v>23430.84</v>
      </c>
      <c r="G931" s="36">
        <v>23430.84</v>
      </c>
      <c r="H931" s="34">
        <v>3500</v>
      </c>
      <c r="I931" s="12" t="s">
        <v>167</v>
      </c>
      <c r="J931" s="6">
        <v>16006.84</v>
      </c>
      <c r="K931" s="6">
        <v>16006.84</v>
      </c>
      <c r="L931" s="6">
        <v>16006.84</v>
      </c>
      <c r="M931" s="28">
        <v>321</v>
      </c>
      <c r="N931" s="5" t="s">
        <v>269</v>
      </c>
      <c r="O931" s="29" t="s">
        <v>245</v>
      </c>
      <c r="P931" s="29" t="s">
        <v>245</v>
      </c>
      <c r="Q931" s="29" t="s">
        <v>245</v>
      </c>
      <c r="R931" s="39">
        <v>43018</v>
      </c>
      <c r="S931" s="31" t="s">
        <v>246</v>
      </c>
      <c r="T931" s="32">
        <v>2017</v>
      </c>
      <c r="U931" s="40">
        <v>43008</v>
      </c>
      <c r="V931" s="32"/>
    </row>
    <row r="932" spans="1:22" ht="19.5" customHeight="1" x14ac:dyDescent="0.3">
      <c r="A932" s="34">
        <v>2017</v>
      </c>
      <c r="B932" s="35">
        <v>42917</v>
      </c>
      <c r="C932" s="34">
        <v>3000</v>
      </c>
      <c r="D932" s="12" t="s">
        <v>168</v>
      </c>
      <c r="E932" s="6">
        <v>345060.9</v>
      </c>
      <c r="F932" s="6">
        <v>262265.58</v>
      </c>
      <c r="G932" s="36">
        <v>248407.1</v>
      </c>
      <c r="H932" s="34">
        <v>3500</v>
      </c>
      <c r="I932" s="12" t="s">
        <v>168</v>
      </c>
      <c r="J932" s="6">
        <v>75748</v>
      </c>
      <c r="K932" s="6">
        <v>75748</v>
      </c>
      <c r="L932" s="6">
        <v>75748</v>
      </c>
      <c r="M932" s="37">
        <v>322</v>
      </c>
      <c r="N932" s="5" t="s">
        <v>269</v>
      </c>
      <c r="O932" s="29" t="s">
        <v>245</v>
      </c>
      <c r="P932" s="29" t="s">
        <v>245</v>
      </c>
      <c r="Q932" s="29" t="s">
        <v>245</v>
      </c>
      <c r="R932" s="39">
        <v>43018</v>
      </c>
      <c r="S932" s="31" t="s">
        <v>246</v>
      </c>
      <c r="T932" s="32">
        <v>2017</v>
      </c>
      <c r="U932" s="40">
        <v>43008</v>
      </c>
      <c r="V932" s="32"/>
    </row>
    <row r="933" spans="1:22" ht="19.5" customHeight="1" x14ac:dyDescent="0.3">
      <c r="A933" s="34">
        <v>2017</v>
      </c>
      <c r="B933" s="35">
        <v>42917</v>
      </c>
      <c r="C933" s="34">
        <v>3000</v>
      </c>
      <c r="D933" s="12" t="s">
        <v>169</v>
      </c>
      <c r="E933" s="6">
        <v>5685152</v>
      </c>
      <c r="F933" s="6">
        <v>5422738.2400000002</v>
      </c>
      <c r="G933" s="36">
        <v>5420914.2400000002</v>
      </c>
      <c r="H933" s="34">
        <v>3600</v>
      </c>
      <c r="I933" s="12" t="s">
        <v>169</v>
      </c>
      <c r="J933" s="6">
        <v>2730123.03</v>
      </c>
      <c r="K933" s="6">
        <v>2730123.03</v>
      </c>
      <c r="L933" s="6">
        <v>2730123.03</v>
      </c>
      <c r="M933" s="28">
        <v>323</v>
      </c>
      <c r="N933" s="5" t="s">
        <v>269</v>
      </c>
      <c r="O933" s="29" t="s">
        <v>245</v>
      </c>
      <c r="P933" s="29" t="s">
        <v>245</v>
      </c>
      <c r="Q933" s="29" t="s">
        <v>245</v>
      </c>
      <c r="R933" s="39">
        <v>43018</v>
      </c>
      <c r="S933" s="31" t="s">
        <v>246</v>
      </c>
      <c r="T933" s="32">
        <v>2017</v>
      </c>
      <c r="U933" s="40">
        <v>43008</v>
      </c>
      <c r="V933" s="32"/>
    </row>
    <row r="934" spans="1:22" ht="19.5" customHeight="1" x14ac:dyDescent="0.3">
      <c r="A934" s="34">
        <v>2017</v>
      </c>
      <c r="B934" s="35">
        <v>42917</v>
      </c>
      <c r="C934" s="34">
        <v>3000</v>
      </c>
      <c r="D934" s="12" t="s">
        <v>261</v>
      </c>
      <c r="E934" s="6">
        <v>0</v>
      </c>
      <c r="F934" s="6">
        <v>284.2</v>
      </c>
      <c r="G934" s="36">
        <v>284.2</v>
      </c>
      <c r="H934" s="34">
        <v>3600</v>
      </c>
      <c r="I934" s="12" t="s">
        <v>261</v>
      </c>
      <c r="J934" s="6">
        <v>284.2</v>
      </c>
      <c r="K934" s="6">
        <v>284.2</v>
      </c>
      <c r="L934" s="6">
        <v>284.2</v>
      </c>
      <c r="M934" s="37">
        <v>324</v>
      </c>
      <c r="N934" s="5" t="s">
        <v>269</v>
      </c>
      <c r="O934" s="29" t="s">
        <v>245</v>
      </c>
      <c r="P934" s="29" t="s">
        <v>245</v>
      </c>
      <c r="Q934" s="29" t="s">
        <v>245</v>
      </c>
      <c r="R934" s="39">
        <v>43018</v>
      </c>
      <c r="S934" s="31" t="s">
        <v>246</v>
      </c>
      <c r="T934" s="32">
        <v>2017</v>
      </c>
      <c r="U934" s="40">
        <v>43008</v>
      </c>
      <c r="V934" s="32"/>
    </row>
    <row r="935" spans="1:22" ht="19.5" customHeight="1" x14ac:dyDescent="0.3">
      <c r="A935" s="34">
        <v>2017</v>
      </c>
      <c r="B935" s="35">
        <v>42917</v>
      </c>
      <c r="C935" s="34">
        <v>3000</v>
      </c>
      <c r="D935" s="12" t="s">
        <v>171</v>
      </c>
      <c r="E935" s="6">
        <v>0</v>
      </c>
      <c r="F935" s="6">
        <v>6000</v>
      </c>
      <c r="G935" s="36">
        <v>190800</v>
      </c>
      <c r="H935" s="34">
        <v>3600</v>
      </c>
      <c r="I935" s="12" t="s">
        <v>171</v>
      </c>
      <c r="J935" s="6"/>
      <c r="K935" s="6"/>
      <c r="L935" s="6"/>
      <c r="M935" s="28">
        <v>325</v>
      </c>
      <c r="N935" s="5" t="s">
        <v>269</v>
      </c>
      <c r="O935" s="29" t="s">
        <v>245</v>
      </c>
      <c r="P935" s="29" t="s">
        <v>245</v>
      </c>
      <c r="Q935" s="29" t="s">
        <v>245</v>
      </c>
      <c r="R935" s="39">
        <v>43018</v>
      </c>
      <c r="S935" s="31" t="s">
        <v>246</v>
      </c>
      <c r="T935" s="32">
        <v>2017</v>
      </c>
      <c r="U935" s="40">
        <v>43008</v>
      </c>
      <c r="V935" s="32"/>
    </row>
    <row r="936" spans="1:22" ht="19.5" customHeight="1" x14ac:dyDescent="0.3">
      <c r="A936" s="34">
        <v>2017</v>
      </c>
      <c r="B936" s="35">
        <v>42917</v>
      </c>
      <c r="C936" s="34">
        <v>3000</v>
      </c>
      <c r="D936" s="12" t="s">
        <v>172</v>
      </c>
      <c r="E936" s="6">
        <v>0</v>
      </c>
      <c r="F936" s="6">
        <v>190800</v>
      </c>
      <c r="G936" s="36">
        <v>371910.17</v>
      </c>
      <c r="H936" s="34">
        <v>3600</v>
      </c>
      <c r="I936" s="12" t="s">
        <v>172</v>
      </c>
      <c r="J936" s="6"/>
      <c r="K936" s="6"/>
      <c r="L936" s="6"/>
      <c r="M936" s="37">
        <v>326</v>
      </c>
      <c r="N936" s="5" t="s">
        <v>269</v>
      </c>
      <c r="O936" s="29" t="s">
        <v>245</v>
      </c>
      <c r="P936" s="29" t="s">
        <v>245</v>
      </c>
      <c r="Q936" s="29" t="s">
        <v>245</v>
      </c>
      <c r="R936" s="39">
        <v>43018</v>
      </c>
      <c r="S936" s="31" t="s">
        <v>246</v>
      </c>
      <c r="T936" s="32">
        <v>2017</v>
      </c>
      <c r="U936" s="40">
        <v>43008</v>
      </c>
      <c r="V936" s="32"/>
    </row>
    <row r="937" spans="1:22" ht="19.5" customHeight="1" x14ac:dyDescent="0.3">
      <c r="A937" s="34">
        <v>2017</v>
      </c>
      <c r="B937" s="35">
        <v>42917</v>
      </c>
      <c r="C937" s="34">
        <v>3000</v>
      </c>
      <c r="D937" s="12" t="s">
        <v>173</v>
      </c>
      <c r="E937" s="6">
        <v>487206</v>
      </c>
      <c r="F937" s="6">
        <v>392791</v>
      </c>
      <c r="G937" s="36">
        <v>1040543.37</v>
      </c>
      <c r="H937" s="34">
        <v>3700</v>
      </c>
      <c r="I937" s="12" t="s">
        <v>173</v>
      </c>
      <c r="J937" s="6">
        <v>31343</v>
      </c>
      <c r="K937" s="6">
        <v>31343</v>
      </c>
      <c r="L937" s="6">
        <v>31343</v>
      </c>
      <c r="M937" s="28">
        <v>327</v>
      </c>
      <c r="N937" s="5" t="s">
        <v>269</v>
      </c>
      <c r="O937" s="29" t="s">
        <v>245</v>
      </c>
      <c r="P937" s="29" t="s">
        <v>245</v>
      </c>
      <c r="Q937" s="29" t="s">
        <v>245</v>
      </c>
      <c r="R937" s="39">
        <v>43018</v>
      </c>
      <c r="S937" s="31" t="s">
        <v>246</v>
      </c>
      <c r="T937" s="32">
        <v>2017</v>
      </c>
      <c r="U937" s="40">
        <v>43008</v>
      </c>
      <c r="V937" s="32"/>
    </row>
    <row r="938" spans="1:22" ht="19.5" customHeight="1" x14ac:dyDescent="0.3">
      <c r="A938" s="34">
        <v>2017</v>
      </c>
      <c r="B938" s="35">
        <v>42917</v>
      </c>
      <c r="C938" s="34">
        <v>3000</v>
      </c>
      <c r="D938" s="12" t="s">
        <v>174</v>
      </c>
      <c r="E938" s="6">
        <v>998617</v>
      </c>
      <c r="F938" s="6">
        <v>1040543.37</v>
      </c>
      <c r="G938" s="36">
        <v>91207.86</v>
      </c>
      <c r="H938" s="34">
        <v>3700</v>
      </c>
      <c r="I938" s="12" t="s">
        <v>174</v>
      </c>
      <c r="J938" s="6">
        <v>136534</v>
      </c>
      <c r="K938" s="6">
        <v>136534</v>
      </c>
      <c r="L938" s="6">
        <v>136534</v>
      </c>
      <c r="M938" s="37">
        <v>328</v>
      </c>
      <c r="N938" s="5" t="s">
        <v>269</v>
      </c>
      <c r="O938" s="29" t="s">
        <v>245</v>
      </c>
      <c r="P938" s="29" t="s">
        <v>245</v>
      </c>
      <c r="Q938" s="29" t="s">
        <v>245</v>
      </c>
      <c r="R938" s="39">
        <v>43018</v>
      </c>
      <c r="S938" s="31" t="s">
        <v>246</v>
      </c>
      <c r="T938" s="32">
        <v>2017</v>
      </c>
      <c r="U938" s="40">
        <v>43008</v>
      </c>
      <c r="V938" s="32"/>
    </row>
    <row r="939" spans="1:22" ht="19.5" customHeight="1" x14ac:dyDescent="0.3">
      <c r="A939" s="34">
        <v>2017</v>
      </c>
      <c r="B939" s="35">
        <v>42917</v>
      </c>
      <c r="C939" s="34">
        <v>3000</v>
      </c>
      <c r="D939" s="12" t="s">
        <v>175</v>
      </c>
      <c r="E939" s="6">
        <v>172768</v>
      </c>
      <c r="F939" s="6">
        <v>91410.36</v>
      </c>
      <c r="G939" s="36">
        <v>253863.54</v>
      </c>
      <c r="H939" s="34">
        <v>3700</v>
      </c>
      <c r="I939" s="12" t="s">
        <v>175</v>
      </c>
      <c r="J939" s="6">
        <v>612</v>
      </c>
      <c r="K939" s="6">
        <v>612</v>
      </c>
      <c r="L939" s="6">
        <v>612</v>
      </c>
      <c r="M939" s="28">
        <v>329</v>
      </c>
      <c r="N939" s="5" t="s">
        <v>269</v>
      </c>
      <c r="O939" s="29" t="s">
        <v>245</v>
      </c>
      <c r="P939" s="29" t="s">
        <v>245</v>
      </c>
      <c r="Q939" s="29" t="s">
        <v>245</v>
      </c>
      <c r="R939" s="39">
        <v>43018</v>
      </c>
      <c r="S939" s="31" t="s">
        <v>246</v>
      </c>
      <c r="T939" s="32">
        <v>2017</v>
      </c>
      <c r="U939" s="40">
        <v>43008</v>
      </c>
      <c r="V939" s="32"/>
    </row>
    <row r="940" spans="1:22" ht="19.5" customHeight="1" x14ac:dyDescent="0.3">
      <c r="A940" s="34">
        <v>2017</v>
      </c>
      <c r="B940" s="35">
        <v>42917</v>
      </c>
      <c r="C940" s="34">
        <v>3000</v>
      </c>
      <c r="D940" s="12" t="s">
        <v>176</v>
      </c>
      <c r="E940" s="6">
        <v>232600</v>
      </c>
      <c r="F940" s="6">
        <v>258511.54</v>
      </c>
      <c r="G940" s="36">
        <v>737669.96</v>
      </c>
      <c r="H940" s="34">
        <v>3700</v>
      </c>
      <c r="I940" s="12" t="s">
        <v>176</v>
      </c>
      <c r="J940" s="6">
        <v>36816.54</v>
      </c>
      <c r="K940" s="6">
        <v>36816.54</v>
      </c>
      <c r="L940" s="6">
        <v>36816.54</v>
      </c>
      <c r="M940" s="37">
        <v>330</v>
      </c>
      <c r="N940" s="5" t="s">
        <v>269</v>
      </c>
      <c r="O940" s="29" t="s">
        <v>245</v>
      </c>
      <c r="P940" s="29" t="s">
        <v>245</v>
      </c>
      <c r="Q940" s="29" t="s">
        <v>245</v>
      </c>
      <c r="R940" s="39">
        <v>43018</v>
      </c>
      <c r="S940" s="31" t="s">
        <v>246</v>
      </c>
      <c r="T940" s="32">
        <v>2017</v>
      </c>
      <c r="U940" s="40">
        <v>43008</v>
      </c>
      <c r="V940" s="32"/>
    </row>
    <row r="941" spans="1:22" ht="19.5" customHeight="1" x14ac:dyDescent="0.3">
      <c r="A941" s="34">
        <v>2017</v>
      </c>
      <c r="B941" s="35">
        <v>42917</v>
      </c>
      <c r="C941" s="34">
        <v>3000</v>
      </c>
      <c r="D941" s="12" t="s">
        <v>179</v>
      </c>
      <c r="E941" s="6">
        <v>508849</v>
      </c>
      <c r="F941" s="6">
        <v>592686.96</v>
      </c>
      <c r="G941" s="36">
        <v>64530</v>
      </c>
      <c r="H941" s="34">
        <v>3700</v>
      </c>
      <c r="I941" s="12" t="s">
        <v>179</v>
      </c>
      <c r="J941" s="6">
        <v>21265.360000000001</v>
      </c>
      <c r="K941" s="6">
        <v>21265.360000000001</v>
      </c>
      <c r="L941" s="6">
        <v>21265.360000000001</v>
      </c>
      <c r="M941" s="28">
        <v>331</v>
      </c>
      <c r="N941" s="5" t="s">
        <v>269</v>
      </c>
      <c r="O941" s="29" t="s">
        <v>245</v>
      </c>
      <c r="P941" s="29" t="s">
        <v>245</v>
      </c>
      <c r="Q941" s="29" t="s">
        <v>245</v>
      </c>
      <c r="R941" s="39">
        <v>43018</v>
      </c>
      <c r="S941" s="31" t="s">
        <v>246</v>
      </c>
      <c r="T941" s="32">
        <v>2017</v>
      </c>
      <c r="U941" s="40">
        <v>43008</v>
      </c>
      <c r="V941" s="32"/>
    </row>
    <row r="942" spans="1:22" ht="19.5" customHeight="1" x14ac:dyDescent="0.3">
      <c r="A942" s="34">
        <v>2017</v>
      </c>
      <c r="B942" s="35">
        <v>42917</v>
      </c>
      <c r="C942" s="34">
        <v>3000</v>
      </c>
      <c r="D942" s="12" t="s">
        <v>180</v>
      </c>
      <c r="E942" s="6">
        <v>44807</v>
      </c>
      <c r="F942" s="6">
        <v>44807</v>
      </c>
      <c r="G942" s="36">
        <v>72032.7</v>
      </c>
      <c r="H942" s="34">
        <v>3700</v>
      </c>
      <c r="I942" s="12" t="s">
        <v>180</v>
      </c>
      <c r="J942" s="6">
        <v>5634.66</v>
      </c>
      <c r="K942" s="6">
        <v>5634.66</v>
      </c>
      <c r="L942" s="6">
        <v>5634.66</v>
      </c>
      <c r="M942" s="37">
        <v>332</v>
      </c>
      <c r="N942" s="5" t="s">
        <v>269</v>
      </c>
      <c r="O942" s="29" t="s">
        <v>245</v>
      </c>
      <c r="P942" s="29" t="s">
        <v>245</v>
      </c>
      <c r="Q942" s="29" t="s">
        <v>245</v>
      </c>
      <c r="R942" s="39">
        <v>43018</v>
      </c>
      <c r="S942" s="31" t="s">
        <v>246</v>
      </c>
      <c r="T942" s="32">
        <v>2017</v>
      </c>
      <c r="U942" s="40">
        <v>43008</v>
      </c>
      <c r="V942" s="32"/>
    </row>
    <row r="943" spans="1:22" ht="19.5" customHeight="1" x14ac:dyDescent="0.3">
      <c r="A943" s="34">
        <v>2017</v>
      </c>
      <c r="B943" s="35">
        <v>42917</v>
      </c>
      <c r="C943" s="34">
        <v>3000</v>
      </c>
      <c r="D943" s="12" t="s">
        <v>263</v>
      </c>
      <c r="E943" s="6">
        <v>50000</v>
      </c>
      <c r="F943" s="6">
        <v>72040</v>
      </c>
      <c r="G943" s="36">
        <v>128.55000000000001</v>
      </c>
      <c r="H943" s="34">
        <v>3800</v>
      </c>
      <c r="I943" s="12" t="s">
        <v>263</v>
      </c>
      <c r="J943" s="6">
        <v>46309.65</v>
      </c>
      <c r="K943" s="6">
        <v>46309.65</v>
      </c>
      <c r="L943" s="6">
        <v>46309.65</v>
      </c>
      <c r="M943" s="28">
        <v>333</v>
      </c>
      <c r="N943" s="5" t="s">
        <v>269</v>
      </c>
      <c r="O943" s="29" t="s">
        <v>245</v>
      </c>
      <c r="P943" s="29" t="s">
        <v>245</v>
      </c>
      <c r="Q943" s="29" t="s">
        <v>245</v>
      </c>
      <c r="R943" s="39">
        <v>43018</v>
      </c>
      <c r="S943" s="31" t="s">
        <v>246</v>
      </c>
      <c r="T943" s="32">
        <v>2017</v>
      </c>
      <c r="U943" s="40">
        <v>43008</v>
      </c>
      <c r="V943" s="32"/>
    </row>
    <row r="944" spans="1:22" ht="19.5" customHeight="1" x14ac:dyDescent="0.3">
      <c r="A944" s="34">
        <v>2017</v>
      </c>
      <c r="B944" s="35">
        <v>42917</v>
      </c>
      <c r="C944" s="34">
        <v>3000</v>
      </c>
      <c r="D944" s="12" t="s">
        <v>230</v>
      </c>
      <c r="E944" s="6">
        <v>0</v>
      </c>
      <c r="F944" s="6">
        <v>128.55000000000001</v>
      </c>
      <c r="G944" s="36">
        <v>4705385.83</v>
      </c>
      <c r="H944" s="34">
        <v>3800</v>
      </c>
      <c r="I944" s="12" t="s">
        <v>230</v>
      </c>
      <c r="J944" s="6">
        <v>128.55000000000001</v>
      </c>
      <c r="K944" s="6">
        <v>128.55000000000001</v>
      </c>
      <c r="L944" s="6">
        <v>128.55000000000001</v>
      </c>
      <c r="M944" s="37">
        <v>334</v>
      </c>
      <c r="N944" s="5" t="s">
        <v>269</v>
      </c>
      <c r="O944" s="29" t="s">
        <v>245</v>
      </c>
      <c r="P944" s="29" t="s">
        <v>245</v>
      </c>
      <c r="Q944" s="29" t="s">
        <v>245</v>
      </c>
      <c r="R944" s="39">
        <v>43018</v>
      </c>
      <c r="S944" s="31" t="s">
        <v>246</v>
      </c>
      <c r="T944" s="32">
        <v>2017</v>
      </c>
      <c r="U944" s="40">
        <v>43008</v>
      </c>
      <c r="V944" s="32"/>
    </row>
    <row r="945" spans="1:22" ht="19.5" customHeight="1" x14ac:dyDescent="0.3">
      <c r="A945" s="34">
        <v>2017</v>
      </c>
      <c r="B945" s="35">
        <v>42917</v>
      </c>
      <c r="C945" s="34">
        <v>3000</v>
      </c>
      <c r="D945" s="12" t="s">
        <v>183</v>
      </c>
      <c r="E945" s="6">
        <v>4991829.54</v>
      </c>
      <c r="F945" s="6">
        <v>4778776.75</v>
      </c>
      <c r="G945" s="36">
        <v>861863.17</v>
      </c>
      <c r="H945" s="34">
        <v>3800</v>
      </c>
      <c r="I945" s="12" t="s">
        <v>183</v>
      </c>
      <c r="J945" s="6">
        <v>737369.25</v>
      </c>
      <c r="K945" s="6">
        <v>737369.25</v>
      </c>
      <c r="L945" s="6">
        <v>737369.25</v>
      </c>
      <c r="M945" s="28">
        <v>335</v>
      </c>
      <c r="N945" s="5" t="s">
        <v>269</v>
      </c>
      <c r="O945" s="29" t="s">
        <v>245</v>
      </c>
      <c r="P945" s="29" t="s">
        <v>245</v>
      </c>
      <c r="Q945" s="29" t="s">
        <v>245</v>
      </c>
      <c r="R945" s="39">
        <v>43018</v>
      </c>
      <c r="S945" s="31" t="s">
        <v>246</v>
      </c>
      <c r="T945" s="32">
        <v>2017</v>
      </c>
      <c r="U945" s="40">
        <v>43008</v>
      </c>
      <c r="V945" s="32"/>
    </row>
    <row r="946" spans="1:22" ht="19.5" customHeight="1" x14ac:dyDescent="0.3">
      <c r="A946" s="34">
        <v>2017</v>
      </c>
      <c r="B946" s="35">
        <v>42917</v>
      </c>
      <c r="C946" s="34">
        <v>3000</v>
      </c>
      <c r="D946" s="12" t="s">
        <v>184</v>
      </c>
      <c r="E946" s="6">
        <v>1400748</v>
      </c>
      <c r="F946" s="6">
        <v>972558.8</v>
      </c>
      <c r="G946" s="36">
        <v>456423.29000000004</v>
      </c>
      <c r="H946" s="34">
        <v>3800</v>
      </c>
      <c r="I946" s="12" t="s">
        <v>184</v>
      </c>
      <c r="J946" s="6">
        <v>92568.99</v>
      </c>
      <c r="K946" s="6">
        <v>92568.99</v>
      </c>
      <c r="L946" s="6">
        <v>92568.99</v>
      </c>
      <c r="M946" s="37">
        <v>336</v>
      </c>
      <c r="N946" s="5" t="s">
        <v>269</v>
      </c>
      <c r="O946" s="29" t="s">
        <v>245</v>
      </c>
      <c r="P946" s="29" t="s">
        <v>245</v>
      </c>
      <c r="Q946" s="29" t="s">
        <v>245</v>
      </c>
      <c r="R946" s="39">
        <v>43018</v>
      </c>
      <c r="S946" s="31" t="s">
        <v>246</v>
      </c>
      <c r="T946" s="32">
        <v>2017</v>
      </c>
      <c r="U946" s="40">
        <v>43008</v>
      </c>
      <c r="V946" s="32"/>
    </row>
    <row r="947" spans="1:22" ht="19.5" customHeight="1" x14ac:dyDescent="0.3">
      <c r="A947" s="34">
        <v>2017</v>
      </c>
      <c r="B947" s="35">
        <v>42917</v>
      </c>
      <c r="C947" s="34">
        <v>3000</v>
      </c>
      <c r="D947" s="12" t="s">
        <v>185</v>
      </c>
      <c r="E947" s="6">
        <v>968401</v>
      </c>
      <c r="F947" s="6">
        <v>505994.79</v>
      </c>
      <c r="G947" s="36">
        <v>244582.7</v>
      </c>
      <c r="H947" s="34">
        <v>3800</v>
      </c>
      <c r="I947" s="12" t="s">
        <v>185</v>
      </c>
      <c r="J947" s="6">
        <v>0</v>
      </c>
      <c r="K947" s="6">
        <v>0</v>
      </c>
      <c r="L947" s="6">
        <v>0</v>
      </c>
      <c r="M947" s="28">
        <v>337</v>
      </c>
      <c r="N947" s="5" t="s">
        <v>269</v>
      </c>
      <c r="O947" s="29" t="s">
        <v>245</v>
      </c>
      <c r="P947" s="29" t="s">
        <v>245</v>
      </c>
      <c r="Q947" s="29" t="s">
        <v>245</v>
      </c>
      <c r="R947" s="39">
        <v>43018</v>
      </c>
      <c r="S947" s="31" t="s">
        <v>246</v>
      </c>
      <c r="T947" s="32">
        <v>2017</v>
      </c>
      <c r="U947" s="40">
        <v>43008</v>
      </c>
      <c r="V947" s="32"/>
    </row>
    <row r="948" spans="1:22" ht="19.5" customHeight="1" x14ac:dyDescent="0.3">
      <c r="A948" s="34">
        <v>2017</v>
      </c>
      <c r="B948" s="35">
        <v>42917</v>
      </c>
      <c r="C948" s="34">
        <v>3000</v>
      </c>
      <c r="D948" s="7" t="s">
        <v>186</v>
      </c>
      <c r="E948" s="6">
        <v>363371</v>
      </c>
      <c r="F948" s="6">
        <v>285637.2</v>
      </c>
      <c r="G948" s="36">
        <v>17379347</v>
      </c>
      <c r="H948" s="34">
        <v>3900</v>
      </c>
      <c r="I948" s="7" t="s">
        <v>186</v>
      </c>
      <c r="J948" s="6">
        <v>86292.88</v>
      </c>
      <c r="K948" s="6">
        <v>86292.88</v>
      </c>
      <c r="L948" s="6">
        <v>86292.88</v>
      </c>
      <c r="M948" s="37">
        <v>338</v>
      </c>
      <c r="N948" s="5" t="s">
        <v>269</v>
      </c>
      <c r="O948" s="29" t="s">
        <v>245</v>
      </c>
      <c r="P948" s="29" t="s">
        <v>245</v>
      </c>
      <c r="Q948" s="29" t="s">
        <v>245</v>
      </c>
      <c r="R948" s="39">
        <v>43018</v>
      </c>
      <c r="S948" s="31" t="s">
        <v>246</v>
      </c>
      <c r="T948" s="32">
        <v>2017</v>
      </c>
      <c r="U948" s="40">
        <v>43008</v>
      </c>
      <c r="V948" s="32"/>
    </row>
    <row r="949" spans="1:22" ht="19.5" customHeight="1" x14ac:dyDescent="0.3">
      <c r="A949" s="34">
        <v>2017</v>
      </c>
      <c r="B949" s="35">
        <v>42917</v>
      </c>
      <c r="C949" s="34">
        <v>3000</v>
      </c>
      <c r="D949" s="7" t="s">
        <v>188</v>
      </c>
      <c r="E949" s="6">
        <v>24699325.98</v>
      </c>
      <c r="F949" s="6">
        <v>24699325.98</v>
      </c>
      <c r="G949" s="36">
        <v>0</v>
      </c>
      <c r="H949" s="34">
        <v>3900</v>
      </c>
      <c r="I949" s="7" t="s">
        <v>188</v>
      </c>
      <c r="J949" s="6">
        <v>17379347</v>
      </c>
      <c r="K949" s="6">
        <v>17379347</v>
      </c>
      <c r="L949" s="6">
        <v>17379347</v>
      </c>
      <c r="M949" s="28">
        <v>339</v>
      </c>
      <c r="N949" s="5" t="s">
        <v>269</v>
      </c>
      <c r="O949" s="29" t="s">
        <v>245</v>
      </c>
      <c r="P949" s="29" t="s">
        <v>245</v>
      </c>
      <c r="Q949" s="29" t="s">
        <v>245</v>
      </c>
      <c r="R949" s="39">
        <v>43018</v>
      </c>
      <c r="S949" s="31" t="s">
        <v>246</v>
      </c>
      <c r="T949" s="32">
        <v>2017</v>
      </c>
      <c r="U949" s="40">
        <v>43008</v>
      </c>
      <c r="V949" s="32"/>
    </row>
    <row r="950" spans="1:22" ht="19.5" customHeight="1" x14ac:dyDescent="0.3">
      <c r="A950" s="34">
        <v>2017</v>
      </c>
      <c r="B950" s="35">
        <v>42917</v>
      </c>
      <c r="C950" s="34">
        <v>3000</v>
      </c>
      <c r="D950" s="7" t="s">
        <v>250</v>
      </c>
      <c r="E950" s="6">
        <v>131635</v>
      </c>
      <c r="F950" s="6">
        <v>0</v>
      </c>
      <c r="G950" s="36">
        <v>0</v>
      </c>
      <c r="H950" s="34">
        <v>3900</v>
      </c>
      <c r="I950" s="7" t="s">
        <v>250</v>
      </c>
      <c r="J950" s="6">
        <v>0</v>
      </c>
      <c r="K950" s="6">
        <v>0</v>
      </c>
      <c r="L950" s="6">
        <v>0</v>
      </c>
      <c r="M950" s="37">
        <v>340</v>
      </c>
      <c r="N950" s="5" t="s">
        <v>269</v>
      </c>
      <c r="O950" s="29" t="s">
        <v>245</v>
      </c>
      <c r="P950" s="29" t="s">
        <v>245</v>
      </c>
      <c r="Q950" s="29" t="s">
        <v>245</v>
      </c>
      <c r="R950" s="39">
        <v>43018</v>
      </c>
      <c r="S950" s="31" t="s">
        <v>246</v>
      </c>
      <c r="T950" s="32">
        <v>2017</v>
      </c>
      <c r="U950" s="40">
        <v>43008</v>
      </c>
      <c r="V950" s="32"/>
    </row>
    <row r="951" spans="1:22" ht="19.5" customHeight="1" x14ac:dyDescent="0.3">
      <c r="A951" s="34">
        <v>2017</v>
      </c>
      <c r="B951" s="35">
        <v>42917</v>
      </c>
      <c r="C951" s="34">
        <v>4000</v>
      </c>
      <c r="D951" s="12" t="s">
        <v>192</v>
      </c>
      <c r="E951" s="6">
        <v>34380866.5</v>
      </c>
      <c r="F951" s="6">
        <v>53682462.560000002</v>
      </c>
      <c r="G951" s="36">
        <v>34070711.5</v>
      </c>
      <c r="H951" s="34">
        <v>4400</v>
      </c>
      <c r="I951" s="12" t="s">
        <v>192</v>
      </c>
      <c r="J951" s="6">
        <v>26252550.600000001</v>
      </c>
      <c r="K951" s="6">
        <v>26252550.600000001</v>
      </c>
      <c r="L951" s="6">
        <v>26252550.600000001</v>
      </c>
      <c r="M951" s="28">
        <v>341</v>
      </c>
      <c r="N951" s="5" t="s">
        <v>271</v>
      </c>
      <c r="O951" s="29" t="s">
        <v>245</v>
      </c>
      <c r="P951" s="29" t="s">
        <v>245</v>
      </c>
      <c r="Q951" s="29" t="s">
        <v>245</v>
      </c>
      <c r="R951" s="39">
        <v>43018</v>
      </c>
      <c r="S951" s="31" t="s">
        <v>246</v>
      </c>
      <c r="T951" s="32">
        <v>2017</v>
      </c>
      <c r="U951" s="40">
        <v>43008</v>
      </c>
      <c r="V951" s="32"/>
    </row>
    <row r="952" spans="1:22" ht="19.5" customHeight="1" x14ac:dyDescent="0.3">
      <c r="A952" s="34">
        <v>2017</v>
      </c>
      <c r="B952" s="35">
        <v>42917</v>
      </c>
      <c r="C952" s="34">
        <v>4000</v>
      </c>
      <c r="D952" s="12" t="s">
        <v>193</v>
      </c>
      <c r="E952" s="6">
        <v>1766000</v>
      </c>
      <c r="F952" s="6">
        <v>1836000</v>
      </c>
      <c r="G952" s="36">
        <v>2235558.52</v>
      </c>
      <c r="H952" s="34">
        <v>4400</v>
      </c>
      <c r="I952" s="12" t="s">
        <v>193</v>
      </c>
      <c r="J952" s="6">
        <v>469600.41</v>
      </c>
      <c r="K952" s="6">
        <v>469600.41</v>
      </c>
      <c r="L952" s="6">
        <v>469600.41</v>
      </c>
      <c r="M952" s="37">
        <v>342</v>
      </c>
      <c r="N952" s="5" t="s">
        <v>271</v>
      </c>
      <c r="O952" s="29" t="s">
        <v>245</v>
      </c>
      <c r="P952" s="29" t="s">
        <v>245</v>
      </c>
      <c r="Q952" s="29" t="s">
        <v>245</v>
      </c>
      <c r="R952" s="39">
        <v>43018</v>
      </c>
      <c r="S952" s="31" t="s">
        <v>246</v>
      </c>
      <c r="T952" s="32">
        <v>2017</v>
      </c>
      <c r="U952" s="40">
        <v>43008</v>
      </c>
      <c r="V952" s="32"/>
    </row>
    <row r="953" spans="1:22" ht="19.5" customHeight="1" x14ac:dyDescent="0.3">
      <c r="A953" s="34">
        <v>2017</v>
      </c>
      <c r="B953" s="35">
        <v>42917</v>
      </c>
      <c r="C953" s="34">
        <v>5000</v>
      </c>
      <c r="D953" s="12" t="s">
        <v>194</v>
      </c>
      <c r="E953" s="6">
        <v>1353642.15</v>
      </c>
      <c r="F953" s="6">
        <v>1958362.04</v>
      </c>
      <c r="G953" s="36">
        <v>1742415.77</v>
      </c>
      <c r="H953" s="34">
        <v>5100</v>
      </c>
      <c r="I953" s="12" t="s">
        <v>194</v>
      </c>
      <c r="J953" s="6">
        <v>0</v>
      </c>
      <c r="K953" s="6">
        <v>0</v>
      </c>
      <c r="L953" s="6">
        <v>0</v>
      </c>
      <c r="M953" s="28">
        <v>343</v>
      </c>
      <c r="N953" s="5" t="s">
        <v>272</v>
      </c>
      <c r="O953" s="29" t="s">
        <v>245</v>
      </c>
      <c r="P953" s="29" t="s">
        <v>245</v>
      </c>
      <c r="Q953" s="29" t="s">
        <v>245</v>
      </c>
      <c r="R953" s="39">
        <v>43018</v>
      </c>
      <c r="S953" s="31" t="s">
        <v>246</v>
      </c>
      <c r="T953" s="32">
        <v>2017</v>
      </c>
      <c r="U953" s="40">
        <v>43008</v>
      </c>
      <c r="V953" s="32"/>
    </row>
    <row r="954" spans="1:22" ht="19.5" customHeight="1" x14ac:dyDescent="0.3">
      <c r="A954" s="34">
        <v>2017</v>
      </c>
      <c r="B954" s="35">
        <v>42917</v>
      </c>
      <c r="C954" s="34">
        <v>5000</v>
      </c>
      <c r="D954" s="12" t="s">
        <v>273</v>
      </c>
      <c r="E954" s="6">
        <v>0</v>
      </c>
      <c r="F954" s="6">
        <v>10000</v>
      </c>
      <c r="G954" s="36">
        <v>9999.99</v>
      </c>
      <c r="H954" s="34">
        <v>5100</v>
      </c>
      <c r="I954" s="12" t="s">
        <v>273</v>
      </c>
      <c r="J954" s="6">
        <v>9999.99</v>
      </c>
      <c r="K954" s="6">
        <v>9999.99</v>
      </c>
      <c r="L954" s="6">
        <v>9999.99</v>
      </c>
      <c r="M954" s="37">
        <v>344</v>
      </c>
      <c r="N954" s="5" t="s">
        <v>272</v>
      </c>
      <c r="O954" s="29" t="s">
        <v>245</v>
      </c>
      <c r="P954" s="29" t="s">
        <v>245</v>
      </c>
      <c r="Q954" s="29" t="s">
        <v>245</v>
      </c>
      <c r="R954" s="39">
        <v>43018</v>
      </c>
      <c r="S954" s="31" t="s">
        <v>246</v>
      </c>
      <c r="T954" s="32">
        <v>2017</v>
      </c>
      <c r="U954" s="40">
        <v>43008</v>
      </c>
      <c r="V954" s="32"/>
    </row>
    <row r="955" spans="1:22" ht="19.5" customHeight="1" x14ac:dyDescent="0.3">
      <c r="A955" s="34">
        <v>2017</v>
      </c>
      <c r="B955" s="35">
        <v>42917</v>
      </c>
      <c r="C955" s="34">
        <v>5000</v>
      </c>
      <c r="D955" s="12" t="s">
        <v>195</v>
      </c>
      <c r="E955" s="6">
        <v>0</v>
      </c>
      <c r="F955" s="6">
        <v>37352</v>
      </c>
      <c r="G955" s="36">
        <v>37352</v>
      </c>
      <c r="H955" s="34">
        <v>5100</v>
      </c>
      <c r="I955" s="12" t="s">
        <v>195</v>
      </c>
      <c r="J955" s="6">
        <v>0</v>
      </c>
      <c r="K955" s="6">
        <v>0</v>
      </c>
      <c r="L955" s="6">
        <v>0</v>
      </c>
      <c r="M955" s="28">
        <v>345</v>
      </c>
      <c r="N955" s="5" t="s">
        <v>272</v>
      </c>
      <c r="O955" s="29" t="s">
        <v>245</v>
      </c>
      <c r="P955" s="29" t="s">
        <v>245</v>
      </c>
      <c r="Q955" s="29" t="s">
        <v>245</v>
      </c>
      <c r="R955" s="39">
        <v>43018</v>
      </c>
      <c r="S955" s="31" t="s">
        <v>246</v>
      </c>
      <c r="T955" s="32">
        <v>2017</v>
      </c>
      <c r="U955" s="40">
        <v>43008</v>
      </c>
      <c r="V955" s="32"/>
    </row>
    <row r="956" spans="1:22" ht="19.5" customHeight="1" x14ac:dyDescent="0.3">
      <c r="A956" s="34">
        <v>2017</v>
      </c>
      <c r="B956" s="35">
        <v>42917</v>
      </c>
      <c r="C956" s="34">
        <v>5000</v>
      </c>
      <c r="D956" s="12" t="s">
        <v>196</v>
      </c>
      <c r="E956" s="6">
        <v>3043124.16</v>
      </c>
      <c r="F956" s="6">
        <v>3735279.94</v>
      </c>
      <c r="G956" s="36">
        <v>3280833.37</v>
      </c>
      <c r="H956" s="34">
        <v>5100</v>
      </c>
      <c r="I956" s="12" t="s">
        <v>196</v>
      </c>
      <c r="J956" s="6">
        <v>50576</v>
      </c>
      <c r="K956" s="6">
        <v>50576</v>
      </c>
      <c r="L956" s="6">
        <v>50576</v>
      </c>
      <c r="M956" s="37">
        <v>346</v>
      </c>
      <c r="N956" s="5" t="s">
        <v>272</v>
      </c>
      <c r="O956" s="29" t="s">
        <v>245</v>
      </c>
      <c r="P956" s="29" t="s">
        <v>245</v>
      </c>
      <c r="Q956" s="29" t="s">
        <v>245</v>
      </c>
      <c r="R956" s="39">
        <v>43018</v>
      </c>
      <c r="S956" s="31" t="s">
        <v>246</v>
      </c>
      <c r="T956" s="32">
        <v>2017</v>
      </c>
      <c r="U956" s="40">
        <v>43008</v>
      </c>
      <c r="V956" s="32"/>
    </row>
    <row r="957" spans="1:22" ht="19.5" customHeight="1" x14ac:dyDescent="0.3">
      <c r="A957" s="34">
        <v>2017</v>
      </c>
      <c r="B957" s="35">
        <v>42917</v>
      </c>
      <c r="C957" s="34">
        <v>5000</v>
      </c>
      <c r="D957" s="12" t="s">
        <v>197</v>
      </c>
      <c r="E957" s="6">
        <v>182524</v>
      </c>
      <c r="F957" s="6">
        <v>473019.44</v>
      </c>
      <c r="G957" s="36">
        <v>322698.13</v>
      </c>
      <c r="H957" s="34">
        <v>5100</v>
      </c>
      <c r="I957" s="12" t="s">
        <v>197</v>
      </c>
      <c r="J957" s="6">
        <v>70071.539999999994</v>
      </c>
      <c r="K957" s="6">
        <v>70071.539999999994</v>
      </c>
      <c r="L957" s="6">
        <v>70071.539999999994</v>
      </c>
      <c r="M957" s="28">
        <v>347</v>
      </c>
      <c r="N957" s="5" t="s">
        <v>272</v>
      </c>
      <c r="O957" s="29" t="s">
        <v>245</v>
      </c>
      <c r="P957" s="29" t="s">
        <v>245</v>
      </c>
      <c r="Q957" s="29" t="s">
        <v>245</v>
      </c>
      <c r="R957" s="39">
        <v>43018</v>
      </c>
      <c r="S957" s="31" t="s">
        <v>246</v>
      </c>
      <c r="T957" s="32">
        <v>2017</v>
      </c>
      <c r="U957" s="40">
        <v>43008</v>
      </c>
      <c r="V957" s="32"/>
    </row>
    <row r="958" spans="1:22" ht="19.5" customHeight="1" x14ac:dyDescent="0.3">
      <c r="A958" s="34">
        <v>2017</v>
      </c>
      <c r="B958" s="35">
        <v>42917</v>
      </c>
      <c r="C958" s="34">
        <v>5000</v>
      </c>
      <c r="D958" s="12" t="s">
        <v>198</v>
      </c>
      <c r="E958" s="6">
        <v>887600.86</v>
      </c>
      <c r="F958" s="6">
        <v>701320.1</v>
      </c>
      <c r="G958" s="36">
        <v>635176.36999999988</v>
      </c>
      <c r="H958" s="34">
        <v>5200</v>
      </c>
      <c r="I958" s="12" t="s">
        <v>198</v>
      </c>
      <c r="J958" s="6">
        <v>29916.400000000001</v>
      </c>
      <c r="K958" s="6">
        <v>29916.400000000001</v>
      </c>
      <c r="L958" s="6">
        <v>29916.400000000001</v>
      </c>
      <c r="M958" s="37">
        <v>348</v>
      </c>
      <c r="N958" s="5" t="s">
        <v>272</v>
      </c>
      <c r="O958" s="29" t="s">
        <v>245</v>
      </c>
      <c r="P958" s="29" t="s">
        <v>245</v>
      </c>
      <c r="Q958" s="29" t="s">
        <v>245</v>
      </c>
      <c r="R958" s="39">
        <v>43018</v>
      </c>
      <c r="S958" s="31" t="s">
        <v>246</v>
      </c>
      <c r="T958" s="32">
        <v>2017</v>
      </c>
      <c r="U958" s="40">
        <v>43008</v>
      </c>
      <c r="V958" s="32"/>
    </row>
    <row r="959" spans="1:22" ht="19.5" customHeight="1" x14ac:dyDescent="0.3">
      <c r="A959" s="34">
        <v>2017</v>
      </c>
      <c r="B959" s="35">
        <v>42917</v>
      </c>
      <c r="C959" s="34">
        <v>5000</v>
      </c>
      <c r="D959" s="12" t="s">
        <v>199</v>
      </c>
      <c r="E959" s="6">
        <v>665042</v>
      </c>
      <c r="F959" s="6">
        <v>515240.1</v>
      </c>
      <c r="G959" s="36">
        <v>496409.14999999991</v>
      </c>
      <c r="H959" s="34">
        <v>5200</v>
      </c>
      <c r="I959" s="12" t="s">
        <v>199</v>
      </c>
      <c r="J959" s="6">
        <v>0</v>
      </c>
      <c r="K959" s="6">
        <v>0</v>
      </c>
      <c r="L959" s="6">
        <v>0</v>
      </c>
      <c r="M959" s="28">
        <v>349</v>
      </c>
      <c r="N959" s="5" t="s">
        <v>272</v>
      </c>
      <c r="O959" s="29" t="s">
        <v>245</v>
      </c>
      <c r="P959" s="29" t="s">
        <v>245</v>
      </c>
      <c r="Q959" s="29" t="s">
        <v>245</v>
      </c>
      <c r="R959" s="39">
        <v>43018</v>
      </c>
      <c r="S959" s="31" t="s">
        <v>246</v>
      </c>
      <c r="T959" s="32">
        <v>2017</v>
      </c>
      <c r="U959" s="40">
        <v>43008</v>
      </c>
      <c r="V959" s="32"/>
    </row>
    <row r="960" spans="1:22" ht="19.5" customHeight="1" x14ac:dyDescent="0.3">
      <c r="A960" s="34">
        <v>2017</v>
      </c>
      <c r="B960" s="35">
        <v>42917</v>
      </c>
      <c r="C960" s="34">
        <v>5000</v>
      </c>
      <c r="D960" s="12" t="s">
        <v>200</v>
      </c>
      <c r="E960" s="6">
        <v>220800</v>
      </c>
      <c r="F960" s="6">
        <v>109817.28</v>
      </c>
      <c r="G960" s="36">
        <v>102068.95999999999</v>
      </c>
      <c r="H960" s="34">
        <v>5200</v>
      </c>
      <c r="I960" s="12" t="s">
        <v>200</v>
      </c>
      <c r="J960" s="6">
        <v>0</v>
      </c>
      <c r="K960" s="6">
        <v>0</v>
      </c>
      <c r="L960" s="6">
        <v>0</v>
      </c>
      <c r="M960" s="37">
        <v>350</v>
      </c>
      <c r="N960" s="5" t="s">
        <v>272</v>
      </c>
      <c r="O960" s="29" t="s">
        <v>245</v>
      </c>
      <c r="P960" s="29" t="s">
        <v>245</v>
      </c>
      <c r="Q960" s="29" t="s">
        <v>245</v>
      </c>
      <c r="R960" s="39">
        <v>43018</v>
      </c>
      <c r="S960" s="31" t="s">
        <v>246</v>
      </c>
      <c r="T960" s="32">
        <v>2017</v>
      </c>
      <c r="U960" s="40">
        <v>43008</v>
      </c>
      <c r="V960" s="32"/>
    </row>
    <row r="961" spans="1:22" ht="19.5" customHeight="1" x14ac:dyDescent="0.3">
      <c r="A961" s="34">
        <v>2017</v>
      </c>
      <c r="B961" s="35">
        <v>42917</v>
      </c>
      <c r="C961" s="34">
        <v>5000</v>
      </c>
      <c r="D961" s="12" t="s">
        <v>201</v>
      </c>
      <c r="E961" s="6">
        <v>514000</v>
      </c>
      <c r="F961" s="6">
        <v>2188857.1800000002</v>
      </c>
      <c r="G961" s="36">
        <v>2144399.0099999998</v>
      </c>
      <c r="H961" s="34">
        <v>5300</v>
      </c>
      <c r="I961" s="12" t="s">
        <v>201</v>
      </c>
      <c r="J961" s="6">
        <v>0</v>
      </c>
      <c r="K961" s="6">
        <v>0</v>
      </c>
      <c r="L961" s="6">
        <v>0</v>
      </c>
      <c r="M961" s="28">
        <v>351</v>
      </c>
      <c r="N961" s="5" t="s">
        <v>272</v>
      </c>
      <c r="O961" s="29" t="s">
        <v>245</v>
      </c>
      <c r="P961" s="29" t="s">
        <v>245</v>
      </c>
      <c r="Q961" s="29" t="s">
        <v>245</v>
      </c>
      <c r="R961" s="39">
        <v>43018</v>
      </c>
      <c r="S961" s="31" t="s">
        <v>246</v>
      </c>
      <c r="T961" s="32">
        <v>2017</v>
      </c>
      <c r="U961" s="40">
        <v>43008</v>
      </c>
      <c r="V961" s="32"/>
    </row>
    <row r="962" spans="1:22" ht="19.5" customHeight="1" x14ac:dyDescent="0.3">
      <c r="A962" s="34">
        <v>2017</v>
      </c>
      <c r="B962" s="35">
        <v>42917</v>
      </c>
      <c r="C962" s="34">
        <v>5000</v>
      </c>
      <c r="D962" s="7" t="s">
        <v>225</v>
      </c>
      <c r="E962" s="6">
        <v>530000</v>
      </c>
      <c r="F962" s="6">
        <v>530000</v>
      </c>
      <c r="G962" s="36">
        <v>446020</v>
      </c>
      <c r="H962" s="34">
        <v>5400</v>
      </c>
      <c r="I962" s="7" t="s">
        <v>225</v>
      </c>
      <c r="J962" s="6">
        <v>0</v>
      </c>
      <c r="K962" s="6">
        <v>0</v>
      </c>
      <c r="L962" s="6">
        <v>0</v>
      </c>
      <c r="M962" s="37">
        <v>352</v>
      </c>
      <c r="N962" s="5" t="s">
        <v>272</v>
      </c>
      <c r="O962" s="29" t="s">
        <v>245</v>
      </c>
      <c r="P962" s="29" t="s">
        <v>245</v>
      </c>
      <c r="Q962" s="29" t="s">
        <v>245</v>
      </c>
      <c r="R962" s="39">
        <v>43018</v>
      </c>
      <c r="S962" s="31" t="s">
        <v>246</v>
      </c>
      <c r="T962" s="32">
        <v>2017</v>
      </c>
      <c r="U962" s="40">
        <v>43008</v>
      </c>
      <c r="V962" s="32"/>
    </row>
    <row r="963" spans="1:22" ht="19.5" customHeight="1" x14ac:dyDescent="0.3">
      <c r="A963" s="34">
        <v>2017</v>
      </c>
      <c r="B963" s="35">
        <v>42917</v>
      </c>
      <c r="C963" s="34">
        <v>5000</v>
      </c>
      <c r="D963" s="7" t="s">
        <v>266</v>
      </c>
      <c r="E963" s="6">
        <v>30000</v>
      </c>
      <c r="F963" s="6">
        <v>42000</v>
      </c>
      <c r="G963" s="36">
        <v>40600</v>
      </c>
      <c r="H963" s="34">
        <v>5400</v>
      </c>
      <c r="I963" s="7" t="s">
        <v>266</v>
      </c>
      <c r="J963" s="6">
        <v>0</v>
      </c>
      <c r="K963" s="6">
        <v>0</v>
      </c>
      <c r="L963" s="6">
        <v>0</v>
      </c>
      <c r="M963" s="28">
        <v>353</v>
      </c>
      <c r="N963" s="5" t="s">
        <v>272</v>
      </c>
      <c r="O963" s="29" t="s">
        <v>245</v>
      </c>
      <c r="P963" s="29" t="s">
        <v>245</v>
      </c>
      <c r="Q963" s="29" t="s">
        <v>245</v>
      </c>
      <c r="R963" s="39">
        <v>43018</v>
      </c>
      <c r="S963" s="31" t="s">
        <v>246</v>
      </c>
      <c r="T963" s="32">
        <v>2017</v>
      </c>
      <c r="U963" s="40">
        <v>43008</v>
      </c>
      <c r="V963" s="32"/>
    </row>
    <row r="964" spans="1:22" ht="19.5" customHeight="1" x14ac:dyDescent="0.3">
      <c r="A964" s="34">
        <v>2017</v>
      </c>
      <c r="B964" s="35">
        <v>42917</v>
      </c>
      <c r="C964" s="34">
        <v>5000</v>
      </c>
      <c r="D964" s="7" t="s">
        <v>232</v>
      </c>
      <c r="E964" s="6">
        <v>80000</v>
      </c>
      <c r="F964" s="6">
        <v>0</v>
      </c>
      <c r="G964" s="36">
        <v>0</v>
      </c>
      <c r="H964" s="34">
        <v>5400</v>
      </c>
      <c r="I964" s="7" t="s">
        <v>232</v>
      </c>
      <c r="J964" s="6">
        <v>0</v>
      </c>
      <c r="K964" s="6">
        <v>0</v>
      </c>
      <c r="L964" s="6">
        <v>0</v>
      </c>
      <c r="M964" s="37">
        <v>354</v>
      </c>
      <c r="N964" s="5" t="s">
        <v>272</v>
      </c>
      <c r="O964" s="29" t="s">
        <v>245</v>
      </c>
      <c r="P964" s="29" t="s">
        <v>245</v>
      </c>
      <c r="Q964" s="29" t="s">
        <v>245</v>
      </c>
      <c r="R964" s="39">
        <v>43018</v>
      </c>
      <c r="S964" s="31" t="s">
        <v>246</v>
      </c>
      <c r="T964" s="32">
        <v>2017</v>
      </c>
      <c r="U964" s="40">
        <v>43008</v>
      </c>
      <c r="V964" s="32"/>
    </row>
    <row r="965" spans="1:22" ht="19.5" customHeight="1" x14ac:dyDescent="0.3">
      <c r="A965" s="34">
        <v>2017</v>
      </c>
      <c r="B965" s="35">
        <v>42917</v>
      </c>
      <c r="C965" s="34">
        <v>5000</v>
      </c>
      <c r="D965" s="7" t="s">
        <v>204</v>
      </c>
      <c r="E965" s="6">
        <v>134000</v>
      </c>
      <c r="F965" s="6">
        <v>159000</v>
      </c>
      <c r="G965" s="36">
        <v>130363.12</v>
      </c>
      <c r="H965" s="34">
        <v>5600</v>
      </c>
      <c r="I965" s="7" t="s">
        <v>204</v>
      </c>
      <c r="J965" s="6">
        <v>0</v>
      </c>
      <c r="K965" s="6">
        <v>0</v>
      </c>
      <c r="L965" s="6">
        <v>0</v>
      </c>
      <c r="M965" s="28">
        <v>355</v>
      </c>
      <c r="N965" s="5" t="s">
        <v>272</v>
      </c>
      <c r="O965" s="29" t="s">
        <v>245</v>
      </c>
      <c r="P965" s="29" t="s">
        <v>245</v>
      </c>
      <c r="Q965" s="29" t="s">
        <v>245</v>
      </c>
      <c r="R965" s="39">
        <v>43018</v>
      </c>
      <c r="S965" s="31" t="s">
        <v>246</v>
      </c>
      <c r="T965" s="32">
        <v>2017</v>
      </c>
      <c r="U965" s="40">
        <v>43008</v>
      </c>
      <c r="V965" s="32"/>
    </row>
    <row r="966" spans="1:22" ht="19.5" customHeight="1" x14ac:dyDescent="0.3">
      <c r="A966" s="34">
        <v>2017</v>
      </c>
      <c r="B966" s="35">
        <v>42917</v>
      </c>
      <c r="C966" s="34">
        <v>5000</v>
      </c>
      <c r="D966" s="7" t="s">
        <v>206</v>
      </c>
      <c r="E966" s="6">
        <v>486139</v>
      </c>
      <c r="F966" s="6">
        <v>586121.56000000006</v>
      </c>
      <c r="G966" s="36">
        <v>527687.51</v>
      </c>
      <c r="H966" s="34">
        <v>5600</v>
      </c>
      <c r="I966" s="7" t="s">
        <v>206</v>
      </c>
      <c r="J966" s="6">
        <v>0</v>
      </c>
      <c r="K966" s="6">
        <v>0</v>
      </c>
      <c r="L966" s="6">
        <v>0</v>
      </c>
      <c r="M966" s="37">
        <v>356</v>
      </c>
      <c r="N966" s="5" t="s">
        <v>272</v>
      </c>
      <c r="O966" s="29" t="s">
        <v>245</v>
      </c>
      <c r="P966" s="29" t="s">
        <v>245</v>
      </c>
      <c r="Q966" s="29" t="s">
        <v>245</v>
      </c>
      <c r="R966" s="39">
        <v>43018</v>
      </c>
      <c r="S966" s="31" t="s">
        <v>246</v>
      </c>
      <c r="T966" s="32">
        <v>2017</v>
      </c>
      <c r="U966" s="40">
        <v>43008</v>
      </c>
      <c r="V966" s="32"/>
    </row>
    <row r="967" spans="1:22" ht="19.5" customHeight="1" x14ac:dyDescent="0.3">
      <c r="A967" s="34">
        <v>2017</v>
      </c>
      <c r="B967" s="35">
        <v>42917</v>
      </c>
      <c r="C967" s="34">
        <v>5000</v>
      </c>
      <c r="D967" s="7" t="s">
        <v>207</v>
      </c>
      <c r="E967" s="6">
        <v>85406.82</v>
      </c>
      <c r="F967" s="6">
        <v>314699.58</v>
      </c>
      <c r="G967" s="36">
        <v>308419.48</v>
      </c>
      <c r="H967" s="34">
        <v>5600</v>
      </c>
      <c r="I967" s="7" t="s">
        <v>207</v>
      </c>
      <c r="J967" s="6">
        <v>15359</v>
      </c>
      <c r="K967" s="6">
        <v>15359</v>
      </c>
      <c r="L967" s="6">
        <v>15359</v>
      </c>
      <c r="M967" s="28">
        <v>357</v>
      </c>
      <c r="N967" s="5" t="s">
        <v>272</v>
      </c>
      <c r="O967" s="29" t="s">
        <v>245</v>
      </c>
      <c r="P967" s="29" t="s">
        <v>245</v>
      </c>
      <c r="Q967" s="29" t="s">
        <v>245</v>
      </c>
      <c r="R967" s="39">
        <v>43018</v>
      </c>
      <c r="S967" s="31" t="s">
        <v>246</v>
      </c>
      <c r="T967" s="32">
        <v>2017</v>
      </c>
      <c r="U967" s="40">
        <v>43008</v>
      </c>
      <c r="V967" s="32"/>
    </row>
    <row r="968" spans="1:22" ht="19.5" customHeight="1" x14ac:dyDescent="0.3">
      <c r="A968" s="34">
        <v>2017</v>
      </c>
      <c r="B968" s="35">
        <v>42917</v>
      </c>
      <c r="C968" s="34">
        <v>5000</v>
      </c>
      <c r="D968" s="7" t="s">
        <v>208</v>
      </c>
      <c r="E968" s="6">
        <v>0</v>
      </c>
      <c r="F968" s="6">
        <v>9280</v>
      </c>
      <c r="G968" s="36">
        <v>9280</v>
      </c>
      <c r="H968" s="34">
        <v>5600</v>
      </c>
      <c r="I968" s="7" t="s">
        <v>208</v>
      </c>
      <c r="J968" s="6">
        <v>0</v>
      </c>
      <c r="K968" s="6">
        <v>0</v>
      </c>
      <c r="L968" s="6">
        <v>0</v>
      </c>
      <c r="M968" s="37">
        <v>358</v>
      </c>
      <c r="N968" s="5" t="s">
        <v>272</v>
      </c>
      <c r="O968" s="29" t="s">
        <v>245</v>
      </c>
      <c r="P968" s="29" t="s">
        <v>245</v>
      </c>
      <c r="Q968" s="29" t="s">
        <v>245</v>
      </c>
      <c r="R968" s="39">
        <v>43018</v>
      </c>
      <c r="S968" s="31" t="s">
        <v>246</v>
      </c>
      <c r="T968" s="32">
        <v>2017</v>
      </c>
      <c r="U968" s="40">
        <v>43008</v>
      </c>
      <c r="V968" s="32"/>
    </row>
    <row r="969" spans="1:22" ht="19.5" customHeight="1" x14ac:dyDescent="0.3">
      <c r="A969" s="34">
        <v>2017</v>
      </c>
      <c r="B969" s="35">
        <v>42917</v>
      </c>
      <c r="C969" s="34">
        <v>5000</v>
      </c>
      <c r="D969" s="7" t="s">
        <v>274</v>
      </c>
      <c r="E969" s="6">
        <v>0</v>
      </c>
      <c r="F969" s="6">
        <v>23500</v>
      </c>
      <c r="G969" s="36">
        <v>23187.46</v>
      </c>
      <c r="H969" s="34">
        <v>5600</v>
      </c>
      <c r="I969" s="7" t="s">
        <v>274</v>
      </c>
      <c r="J969" s="6">
        <v>0</v>
      </c>
      <c r="K969" s="6">
        <v>0</v>
      </c>
      <c r="L969" s="6">
        <v>0</v>
      </c>
      <c r="M969" s="28">
        <v>359</v>
      </c>
      <c r="N969" s="5" t="s">
        <v>272</v>
      </c>
      <c r="O969" s="29" t="s">
        <v>245</v>
      </c>
      <c r="P969" s="29" t="s">
        <v>245</v>
      </c>
      <c r="Q969" s="29" t="s">
        <v>245</v>
      </c>
      <c r="R969" s="39">
        <v>43018</v>
      </c>
      <c r="S969" s="31" t="s">
        <v>246</v>
      </c>
      <c r="T969" s="32">
        <v>2017</v>
      </c>
      <c r="U969" s="40">
        <v>43008</v>
      </c>
      <c r="V969" s="32"/>
    </row>
    <row r="970" spans="1:22" ht="19.5" customHeight="1" x14ac:dyDescent="0.3">
      <c r="A970" s="34">
        <v>2017</v>
      </c>
      <c r="B970" s="35">
        <v>42917</v>
      </c>
      <c r="C970" s="34">
        <v>5000</v>
      </c>
      <c r="D970" s="7" t="s">
        <v>212</v>
      </c>
      <c r="E970" s="6">
        <v>90736</v>
      </c>
      <c r="F970" s="6">
        <v>187763</v>
      </c>
      <c r="G970" s="36">
        <v>132252.67000000001</v>
      </c>
      <c r="H970" s="34">
        <v>5900</v>
      </c>
      <c r="I970" s="7" t="s">
        <v>212</v>
      </c>
      <c r="J970" s="6">
        <v>0</v>
      </c>
      <c r="K970" s="6">
        <v>0</v>
      </c>
      <c r="L970" s="6">
        <v>0</v>
      </c>
      <c r="M970" s="37">
        <v>360</v>
      </c>
      <c r="N970" s="5" t="s">
        <v>272</v>
      </c>
      <c r="O970" s="29" t="s">
        <v>245</v>
      </c>
      <c r="P970" s="29" t="s">
        <v>245</v>
      </c>
      <c r="Q970" s="29" t="s">
        <v>245</v>
      </c>
      <c r="R970" s="39">
        <v>43018</v>
      </c>
      <c r="S970" s="31" t="s">
        <v>246</v>
      </c>
      <c r="T970" s="32">
        <v>2017</v>
      </c>
      <c r="U970" s="40">
        <v>43008</v>
      </c>
      <c r="V970" s="32"/>
    </row>
    <row r="971" spans="1:22" ht="19.5" customHeight="1" x14ac:dyDescent="0.3">
      <c r="A971" s="34">
        <v>2017</v>
      </c>
      <c r="B971" s="35">
        <v>42917</v>
      </c>
      <c r="C971" s="34">
        <v>5000</v>
      </c>
      <c r="D971" s="7" t="s">
        <v>213</v>
      </c>
      <c r="E971" s="6">
        <v>8000</v>
      </c>
      <c r="F971" s="6">
        <v>9100.99</v>
      </c>
      <c r="G971" s="36">
        <v>9085</v>
      </c>
      <c r="H971" s="34">
        <v>5900</v>
      </c>
      <c r="I971" s="7" t="s">
        <v>213</v>
      </c>
      <c r="J971" s="6">
        <v>0</v>
      </c>
      <c r="K971" s="6">
        <v>0</v>
      </c>
      <c r="L971" s="6">
        <v>0</v>
      </c>
      <c r="M971" s="28">
        <v>361</v>
      </c>
      <c r="N971" s="5" t="s">
        <v>272</v>
      </c>
      <c r="O971" s="29" t="s">
        <v>245</v>
      </c>
      <c r="P971" s="29" t="s">
        <v>245</v>
      </c>
      <c r="Q971" s="29" t="s">
        <v>245</v>
      </c>
      <c r="R971" s="39">
        <v>43018</v>
      </c>
      <c r="S971" s="31" t="s">
        <v>246</v>
      </c>
      <c r="T971" s="32">
        <v>2017</v>
      </c>
      <c r="U971" s="40">
        <v>43008</v>
      </c>
      <c r="V971" s="32"/>
    </row>
    <row r="972" spans="1:22" ht="19.5" customHeight="1" x14ac:dyDescent="0.3">
      <c r="A972" s="34">
        <v>2017</v>
      </c>
      <c r="B972" s="35">
        <v>42917</v>
      </c>
      <c r="C972" s="34">
        <v>6000</v>
      </c>
      <c r="D972" s="7" t="s">
        <v>214</v>
      </c>
      <c r="E972" s="6">
        <v>0</v>
      </c>
      <c r="F972" s="6">
        <v>1546670</v>
      </c>
      <c r="G972" s="36">
        <v>1546669.99</v>
      </c>
      <c r="H972" s="34">
        <v>6200</v>
      </c>
      <c r="I972" s="7" t="s">
        <v>214</v>
      </c>
      <c r="J972" s="6">
        <v>0</v>
      </c>
      <c r="K972" s="6">
        <v>0</v>
      </c>
      <c r="L972" s="6">
        <v>0</v>
      </c>
      <c r="M972" s="37">
        <v>362</v>
      </c>
      <c r="N972" s="5" t="s">
        <v>275</v>
      </c>
      <c r="O972" s="29" t="s">
        <v>245</v>
      </c>
      <c r="P972" s="29" t="s">
        <v>245</v>
      </c>
      <c r="Q972" s="29" t="s">
        <v>245</v>
      </c>
      <c r="R972" s="39">
        <v>43018</v>
      </c>
      <c r="S972" s="31" t="s">
        <v>246</v>
      </c>
      <c r="T972" s="32">
        <v>2017</v>
      </c>
      <c r="U972" s="40">
        <v>43008</v>
      </c>
      <c r="V972" s="32"/>
    </row>
    <row r="973" spans="1:22" ht="19.5" customHeight="1" x14ac:dyDescent="0.3">
      <c r="A973" s="34">
        <v>2017</v>
      </c>
      <c r="B973" s="35">
        <v>42917</v>
      </c>
      <c r="C973" s="34">
        <v>6000</v>
      </c>
      <c r="D973" s="7" t="s">
        <v>235</v>
      </c>
      <c r="E973" s="6">
        <v>1415000</v>
      </c>
      <c r="F973" s="6">
        <v>1415000</v>
      </c>
      <c r="G973" s="36">
        <v>108777.18</v>
      </c>
      <c r="H973" s="34">
        <v>6200</v>
      </c>
      <c r="I973" s="7" t="s">
        <v>235</v>
      </c>
      <c r="J973" s="6">
        <v>0</v>
      </c>
      <c r="K973" s="6">
        <v>0</v>
      </c>
      <c r="L973" s="6">
        <v>0</v>
      </c>
      <c r="M973" s="28">
        <v>363</v>
      </c>
      <c r="N973" s="5" t="s">
        <v>275</v>
      </c>
      <c r="O973" s="29" t="s">
        <v>245</v>
      </c>
      <c r="P973" s="29" t="s">
        <v>245</v>
      </c>
      <c r="Q973" s="29" t="s">
        <v>245</v>
      </c>
      <c r="R973" s="39">
        <v>43018</v>
      </c>
      <c r="S973" s="31" t="s">
        <v>246</v>
      </c>
      <c r="T973" s="32">
        <v>2017</v>
      </c>
      <c r="U973" s="40">
        <v>43008</v>
      </c>
      <c r="V973" s="32"/>
    </row>
    <row r="974" spans="1:22" ht="19.5" customHeight="1" x14ac:dyDescent="0.3">
      <c r="A974" s="34">
        <v>2017</v>
      </c>
      <c r="B974" s="35">
        <v>42917</v>
      </c>
      <c r="C974" s="34">
        <v>7000</v>
      </c>
      <c r="D974" s="7" t="s">
        <v>252</v>
      </c>
      <c r="E974" s="6">
        <v>6004111</v>
      </c>
      <c r="F974" s="6">
        <v>8311691.8899999997</v>
      </c>
      <c r="G974" s="36">
        <v>0</v>
      </c>
      <c r="H974" s="34">
        <v>7900</v>
      </c>
      <c r="I974" s="7" t="s">
        <v>252</v>
      </c>
      <c r="J974" s="6">
        <v>0</v>
      </c>
      <c r="K974" s="6">
        <v>0</v>
      </c>
      <c r="L974" s="6">
        <v>0</v>
      </c>
      <c r="M974" s="37">
        <v>364</v>
      </c>
      <c r="N974" s="5" t="s">
        <v>267</v>
      </c>
      <c r="O974" s="29" t="s">
        <v>245</v>
      </c>
      <c r="P974" s="29" t="s">
        <v>245</v>
      </c>
      <c r="Q974" s="29" t="s">
        <v>245</v>
      </c>
      <c r="R974" s="39">
        <v>43018</v>
      </c>
      <c r="S974" s="31" t="s">
        <v>246</v>
      </c>
      <c r="T974" s="32">
        <v>2017</v>
      </c>
      <c r="U974" s="40">
        <v>43008</v>
      </c>
      <c r="V974" s="32"/>
    </row>
    <row r="975" spans="1:22" ht="19.5" customHeight="1" x14ac:dyDescent="0.3">
      <c r="A975" s="34">
        <v>2017</v>
      </c>
      <c r="B975" s="35">
        <v>43009</v>
      </c>
      <c r="C975" s="34">
        <v>1000</v>
      </c>
      <c r="D975" s="7" t="s">
        <v>72</v>
      </c>
      <c r="E975" s="6">
        <v>307975833</v>
      </c>
      <c r="F975" s="41">
        <f>307175401.5+27030878.45+994237.71</f>
        <v>335200517.65999997</v>
      </c>
      <c r="G975" s="36">
        <v>334662747.30000001</v>
      </c>
      <c r="H975" s="34">
        <v>1100</v>
      </c>
      <c r="I975" s="7" t="s">
        <v>72</v>
      </c>
      <c r="J975" s="6">
        <f>307175401.5+27030878.45+456467.35</f>
        <v>334662747.30000001</v>
      </c>
      <c r="K975" s="6">
        <f>307175401.5+27030878.45+456467.35</f>
        <v>334662747.30000001</v>
      </c>
      <c r="L975" s="6">
        <f>307175401.5+27030878.45+456467.35</f>
        <v>334662747.30000001</v>
      </c>
      <c r="M975" s="28">
        <v>365</v>
      </c>
      <c r="N975" s="7" t="s">
        <v>276</v>
      </c>
      <c r="O975" s="29" t="s">
        <v>245</v>
      </c>
      <c r="P975" s="29" t="s">
        <v>245</v>
      </c>
      <c r="Q975" s="29" t="s">
        <v>245</v>
      </c>
      <c r="R975" s="39">
        <v>43110</v>
      </c>
      <c r="S975" s="31" t="s">
        <v>246</v>
      </c>
      <c r="T975" s="32">
        <v>2017</v>
      </c>
      <c r="U975" s="40">
        <v>43100</v>
      </c>
      <c r="V975" s="32"/>
    </row>
    <row r="976" spans="1:22" ht="19.5" customHeight="1" x14ac:dyDescent="0.3">
      <c r="A976" s="34">
        <v>2017</v>
      </c>
      <c r="B976" s="35">
        <v>43009</v>
      </c>
      <c r="C976" s="34">
        <v>1000</v>
      </c>
      <c r="D976" s="7" t="s">
        <v>73</v>
      </c>
      <c r="E976" s="6">
        <v>10086250.17</v>
      </c>
      <c r="F976" s="41">
        <f>9100946.21+519221</f>
        <v>9620167.2100000009</v>
      </c>
      <c r="G976" s="36">
        <v>9620167.2100000009</v>
      </c>
      <c r="H976" s="34">
        <v>1200</v>
      </c>
      <c r="I976" s="7" t="s">
        <v>73</v>
      </c>
      <c r="J976" s="41">
        <v>9620167.2100000009</v>
      </c>
      <c r="K976" s="41">
        <v>9620167.2100000009</v>
      </c>
      <c r="L976" s="41">
        <v>9620167.2100000009</v>
      </c>
      <c r="M976" s="37">
        <v>366</v>
      </c>
      <c r="N976" s="7" t="s">
        <v>276</v>
      </c>
      <c r="O976" s="29" t="s">
        <v>245</v>
      </c>
      <c r="P976" s="29" t="s">
        <v>245</v>
      </c>
      <c r="Q976" s="29" t="s">
        <v>245</v>
      </c>
      <c r="R976" s="39">
        <v>43110</v>
      </c>
      <c r="S976" s="31" t="s">
        <v>246</v>
      </c>
      <c r="T976" s="32">
        <v>2017</v>
      </c>
      <c r="U976" s="40">
        <v>43100</v>
      </c>
      <c r="V976" s="32"/>
    </row>
    <row r="977" spans="1:22" ht="19.5" customHeight="1" x14ac:dyDescent="0.3">
      <c r="A977" s="34">
        <v>2017</v>
      </c>
      <c r="B977" s="35">
        <v>43009</v>
      </c>
      <c r="C977" s="34">
        <v>1000</v>
      </c>
      <c r="D977" s="8" t="s">
        <v>75</v>
      </c>
      <c r="E977" s="6">
        <v>26640470.120000001</v>
      </c>
      <c r="F977" s="6">
        <v>29261229.579999998</v>
      </c>
      <c r="G977" s="36">
        <v>29261229.580000002</v>
      </c>
      <c r="H977" s="34">
        <v>1300</v>
      </c>
      <c r="I977" s="8" t="s">
        <v>75</v>
      </c>
      <c r="J977" s="6">
        <v>29261229.579999998</v>
      </c>
      <c r="K977" s="6">
        <v>29261229.579999998</v>
      </c>
      <c r="L977" s="6">
        <v>29261229.579999998</v>
      </c>
      <c r="M977" s="28">
        <v>367</v>
      </c>
      <c r="N977" s="7" t="s">
        <v>276</v>
      </c>
      <c r="O977" s="29" t="s">
        <v>245</v>
      </c>
      <c r="P977" s="29" t="s">
        <v>245</v>
      </c>
      <c r="Q977" s="29" t="s">
        <v>245</v>
      </c>
      <c r="R977" s="39">
        <v>43110</v>
      </c>
      <c r="S977" s="31" t="s">
        <v>246</v>
      </c>
      <c r="T977" s="32">
        <v>2017</v>
      </c>
      <c r="U977" s="40">
        <v>43100</v>
      </c>
      <c r="V977" s="32"/>
    </row>
    <row r="978" spans="1:22" ht="19.5" customHeight="1" x14ac:dyDescent="0.3">
      <c r="A978" s="34">
        <v>2017</v>
      </c>
      <c r="B978" s="35">
        <v>43009</v>
      </c>
      <c r="C978" s="34">
        <v>1000</v>
      </c>
      <c r="D978" s="8" t="s">
        <v>76</v>
      </c>
      <c r="E978" s="6">
        <v>34219537.030000001</v>
      </c>
      <c r="F978" s="6">
        <f>20481410+53856801.29</f>
        <v>74338211.289999992</v>
      </c>
      <c r="G978" s="36">
        <v>74338211.290000007</v>
      </c>
      <c r="H978" s="34">
        <v>1300</v>
      </c>
      <c r="I978" s="8" t="s">
        <v>76</v>
      </c>
      <c r="J978" s="6">
        <v>74338211.290000007</v>
      </c>
      <c r="K978" s="6">
        <v>74338211.290000007</v>
      </c>
      <c r="L978" s="6">
        <v>74338211.290000007</v>
      </c>
      <c r="M978" s="37">
        <v>368</v>
      </c>
      <c r="N978" s="7" t="s">
        <v>276</v>
      </c>
      <c r="O978" s="29" t="s">
        <v>245</v>
      </c>
      <c r="P978" s="29" t="s">
        <v>245</v>
      </c>
      <c r="Q978" s="29" t="s">
        <v>245</v>
      </c>
      <c r="R978" s="39">
        <v>43110</v>
      </c>
      <c r="S978" s="31" t="s">
        <v>246</v>
      </c>
      <c r="T978" s="32">
        <v>2017</v>
      </c>
      <c r="U978" s="40">
        <v>43100</v>
      </c>
      <c r="V978" s="32"/>
    </row>
    <row r="979" spans="1:22" ht="19.5" customHeight="1" x14ac:dyDescent="0.3">
      <c r="A979" s="34">
        <v>2017</v>
      </c>
      <c r="B979" s="35">
        <v>43009</v>
      </c>
      <c r="C979" s="34">
        <v>1000</v>
      </c>
      <c r="D979" s="8" t="s">
        <v>77</v>
      </c>
      <c r="E979" s="6">
        <v>0</v>
      </c>
      <c r="F979" s="6">
        <f>1672271.98+63723.72</f>
        <v>1735995.7</v>
      </c>
      <c r="G979" s="36">
        <v>1735995.6999999997</v>
      </c>
      <c r="H979" s="34">
        <v>1300</v>
      </c>
      <c r="I979" s="8" t="s">
        <v>77</v>
      </c>
      <c r="J979" s="6">
        <v>1735995.7</v>
      </c>
      <c r="K979" s="6">
        <v>1735995.7</v>
      </c>
      <c r="L979" s="6">
        <v>1735995.7</v>
      </c>
      <c r="M979" s="28">
        <v>369</v>
      </c>
      <c r="N979" s="7" t="s">
        <v>276</v>
      </c>
      <c r="O979" s="29" t="s">
        <v>245</v>
      </c>
      <c r="P979" s="29" t="s">
        <v>245</v>
      </c>
      <c r="Q979" s="29" t="s">
        <v>245</v>
      </c>
      <c r="R979" s="39">
        <v>43110</v>
      </c>
      <c r="S979" s="31" t="s">
        <v>246</v>
      </c>
      <c r="T979" s="32">
        <v>2017</v>
      </c>
      <c r="U979" s="40">
        <v>43100</v>
      </c>
      <c r="V979" s="32"/>
    </row>
    <row r="980" spans="1:22" ht="19.5" customHeight="1" x14ac:dyDescent="0.3">
      <c r="A980" s="34">
        <v>2017</v>
      </c>
      <c r="B980" s="35">
        <v>43009</v>
      </c>
      <c r="C980" s="34">
        <v>1000</v>
      </c>
      <c r="D980" s="8" t="s">
        <v>78</v>
      </c>
      <c r="E980" s="6">
        <v>0</v>
      </c>
      <c r="F980" s="6">
        <v>110303</v>
      </c>
      <c r="G980" s="36">
        <v>110303</v>
      </c>
      <c r="H980" s="34">
        <v>1300</v>
      </c>
      <c r="I980" s="8" t="s">
        <v>78</v>
      </c>
      <c r="J980" s="6">
        <v>110303</v>
      </c>
      <c r="K980" s="6">
        <v>110303</v>
      </c>
      <c r="L980" s="6">
        <v>110303</v>
      </c>
      <c r="M980" s="37">
        <v>370</v>
      </c>
      <c r="N980" s="7" t="s">
        <v>276</v>
      </c>
      <c r="O980" s="29" t="s">
        <v>245</v>
      </c>
      <c r="P980" s="29" t="s">
        <v>245</v>
      </c>
      <c r="Q980" s="29" t="s">
        <v>245</v>
      </c>
      <c r="R980" s="39">
        <v>43110</v>
      </c>
      <c r="S980" s="31" t="s">
        <v>246</v>
      </c>
      <c r="T980" s="32">
        <v>2017</v>
      </c>
      <c r="U980" s="40">
        <v>43100</v>
      </c>
      <c r="V980" s="32"/>
    </row>
    <row r="981" spans="1:22" ht="19.5" customHeight="1" x14ac:dyDescent="0.3">
      <c r="A981" s="34">
        <v>2017</v>
      </c>
      <c r="B981" s="35">
        <v>43009</v>
      </c>
      <c r="C981" s="34">
        <v>1000</v>
      </c>
      <c r="D981" s="8" t="s">
        <v>79</v>
      </c>
      <c r="E981" s="6">
        <v>30705190.559999999</v>
      </c>
      <c r="F981" s="6">
        <v>33408544.379999999</v>
      </c>
      <c r="G981" s="36">
        <v>33408544.379999999</v>
      </c>
      <c r="H981" s="34">
        <v>1400</v>
      </c>
      <c r="I981" s="8" t="s">
        <v>79</v>
      </c>
      <c r="J981" s="6">
        <v>33408544.379999999</v>
      </c>
      <c r="K981" s="6">
        <v>33408544.379999999</v>
      </c>
      <c r="L981" s="6">
        <v>33408544.379999999</v>
      </c>
      <c r="M981" s="28">
        <v>371</v>
      </c>
      <c r="N981" s="7" t="s">
        <v>276</v>
      </c>
      <c r="O981" s="29" t="s">
        <v>245</v>
      </c>
      <c r="P981" s="29" t="s">
        <v>245</v>
      </c>
      <c r="Q981" s="29" t="s">
        <v>245</v>
      </c>
      <c r="R981" s="39">
        <v>43110</v>
      </c>
      <c r="S981" s="31" t="s">
        <v>246</v>
      </c>
      <c r="T981" s="32">
        <v>2017</v>
      </c>
      <c r="U981" s="40">
        <v>43100</v>
      </c>
      <c r="V981" s="32"/>
    </row>
    <row r="982" spans="1:22" ht="19.5" customHeight="1" x14ac:dyDescent="0.3">
      <c r="A982" s="34">
        <v>2017</v>
      </c>
      <c r="B982" s="35">
        <v>43009</v>
      </c>
      <c r="C982" s="34">
        <v>1000</v>
      </c>
      <c r="D982" s="8" t="s">
        <v>80</v>
      </c>
      <c r="E982" s="6">
        <v>15398791.65</v>
      </c>
      <c r="F982" s="6">
        <v>16735323.1</v>
      </c>
      <c r="G982" s="36">
        <v>16735323.1</v>
      </c>
      <c r="H982" s="34">
        <v>1400</v>
      </c>
      <c r="I982" s="8" t="s">
        <v>80</v>
      </c>
      <c r="J982" s="6">
        <v>16735323.1</v>
      </c>
      <c r="K982" s="6">
        <v>16735323.1</v>
      </c>
      <c r="L982" s="6">
        <v>16735323.1</v>
      </c>
      <c r="M982" s="37">
        <v>372</v>
      </c>
      <c r="N982" s="7" t="s">
        <v>276</v>
      </c>
      <c r="O982" s="29" t="s">
        <v>245</v>
      </c>
      <c r="P982" s="29" t="s">
        <v>245</v>
      </c>
      <c r="Q982" s="29" t="s">
        <v>245</v>
      </c>
      <c r="R982" s="39">
        <v>43110</v>
      </c>
      <c r="S982" s="31" t="s">
        <v>246</v>
      </c>
      <c r="T982" s="32">
        <v>2017</v>
      </c>
      <c r="U982" s="40">
        <v>43100</v>
      </c>
      <c r="V982" s="32"/>
    </row>
    <row r="983" spans="1:22" ht="19.5" customHeight="1" x14ac:dyDescent="0.3">
      <c r="A983" s="34">
        <v>2017</v>
      </c>
      <c r="B983" s="35">
        <v>43009</v>
      </c>
      <c r="C983" s="34">
        <v>1000</v>
      </c>
      <c r="D983" s="8" t="s">
        <v>81</v>
      </c>
      <c r="E983" s="6">
        <v>15937749.35</v>
      </c>
      <c r="F983" s="6">
        <v>19339389.140000001</v>
      </c>
      <c r="G983" s="36">
        <v>19339389.140000001</v>
      </c>
      <c r="H983" s="34">
        <v>1400</v>
      </c>
      <c r="I983" s="8" t="s">
        <v>81</v>
      </c>
      <c r="J983" s="6">
        <v>19339389.140000001</v>
      </c>
      <c r="K983" s="6">
        <v>19339389.140000001</v>
      </c>
      <c r="L983" s="6">
        <v>19339389.140000001</v>
      </c>
      <c r="M983" s="28">
        <v>373</v>
      </c>
      <c r="N983" s="7" t="s">
        <v>276</v>
      </c>
      <c r="O983" s="29" t="s">
        <v>245</v>
      </c>
      <c r="P983" s="29" t="s">
        <v>245</v>
      </c>
      <c r="Q983" s="29" t="s">
        <v>245</v>
      </c>
      <c r="R983" s="39">
        <v>43110</v>
      </c>
      <c r="S983" s="31" t="s">
        <v>246</v>
      </c>
      <c r="T983" s="32">
        <v>2017</v>
      </c>
      <c r="U983" s="40">
        <v>43100</v>
      </c>
      <c r="V983" s="32"/>
    </row>
    <row r="984" spans="1:22" ht="19.5" customHeight="1" x14ac:dyDescent="0.3">
      <c r="A984" s="34">
        <v>2017</v>
      </c>
      <c r="B984" s="35">
        <v>43009</v>
      </c>
      <c r="C984" s="34">
        <v>1000</v>
      </c>
      <c r="D984" s="8" t="s">
        <v>82</v>
      </c>
      <c r="E984" s="6">
        <v>13700813.199999999</v>
      </c>
      <c r="F984" s="6">
        <v>11406009.01</v>
      </c>
      <c r="G984" s="36">
        <v>11406009.01</v>
      </c>
      <c r="H984" s="34">
        <v>1400</v>
      </c>
      <c r="I984" s="8" t="s">
        <v>82</v>
      </c>
      <c r="J984" s="6">
        <v>11406009.01</v>
      </c>
      <c r="K984" s="6">
        <v>11406009.01</v>
      </c>
      <c r="L984" s="6">
        <v>11406009.01</v>
      </c>
      <c r="M984" s="37">
        <v>374</v>
      </c>
      <c r="N984" s="7" t="s">
        <v>276</v>
      </c>
      <c r="O984" s="29" t="s">
        <v>245</v>
      </c>
      <c r="P984" s="29" t="s">
        <v>245</v>
      </c>
      <c r="Q984" s="29" t="s">
        <v>245</v>
      </c>
      <c r="R984" s="39">
        <v>43110</v>
      </c>
      <c r="S984" s="31" t="s">
        <v>246</v>
      </c>
      <c r="T984" s="32">
        <v>2017</v>
      </c>
      <c r="U984" s="40">
        <v>43100</v>
      </c>
      <c r="V984" s="32"/>
    </row>
    <row r="985" spans="1:22" ht="19.5" customHeight="1" x14ac:dyDescent="0.3">
      <c r="A985" s="34">
        <v>2017</v>
      </c>
      <c r="B985" s="35">
        <v>43009</v>
      </c>
      <c r="C985" s="34">
        <v>1000</v>
      </c>
      <c r="D985" s="8" t="s">
        <v>83</v>
      </c>
      <c r="E985" s="6">
        <v>901623.8</v>
      </c>
      <c r="F985" s="6">
        <v>1007976.5</v>
      </c>
      <c r="G985" s="36">
        <v>1007976.5</v>
      </c>
      <c r="H985" s="34">
        <v>1400</v>
      </c>
      <c r="I985" s="8" t="s">
        <v>83</v>
      </c>
      <c r="J985" s="6">
        <v>1007976.5</v>
      </c>
      <c r="K985" s="6">
        <v>1007976.5</v>
      </c>
      <c r="L985" s="6">
        <v>1007976.5</v>
      </c>
      <c r="M985" s="28">
        <v>375</v>
      </c>
      <c r="N985" s="7" t="s">
        <v>276</v>
      </c>
      <c r="O985" s="29" t="s">
        <v>245</v>
      </c>
      <c r="P985" s="29" t="s">
        <v>245</v>
      </c>
      <c r="Q985" s="29" t="s">
        <v>245</v>
      </c>
      <c r="R985" s="39">
        <v>43110</v>
      </c>
      <c r="S985" s="31" t="s">
        <v>246</v>
      </c>
      <c r="T985" s="32">
        <v>2017</v>
      </c>
      <c r="U985" s="40">
        <v>43100</v>
      </c>
      <c r="V985" s="32"/>
    </row>
    <row r="986" spans="1:22" ht="19.5" customHeight="1" x14ac:dyDescent="0.3">
      <c r="A986" s="34">
        <v>2017</v>
      </c>
      <c r="B986" s="35">
        <v>43009</v>
      </c>
      <c r="C986" s="34">
        <v>1000</v>
      </c>
      <c r="D986" s="8" t="s">
        <v>254</v>
      </c>
      <c r="E986" s="6">
        <v>0</v>
      </c>
      <c r="F986" s="6">
        <v>10167000</v>
      </c>
      <c r="G986" s="36">
        <v>10167000</v>
      </c>
      <c r="H986" s="34">
        <v>1400</v>
      </c>
      <c r="I986" s="8" t="s">
        <v>254</v>
      </c>
      <c r="J986" s="6">
        <v>10167000</v>
      </c>
      <c r="K986" s="6">
        <v>10167000</v>
      </c>
      <c r="L986" s="6">
        <v>10167000</v>
      </c>
      <c r="M986" s="37">
        <v>376</v>
      </c>
      <c r="N986" s="7" t="s">
        <v>276</v>
      </c>
      <c r="O986" s="29" t="s">
        <v>245</v>
      </c>
      <c r="P986" s="29" t="s">
        <v>245</v>
      </c>
      <c r="Q986" s="29" t="s">
        <v>245</v>
      </c>
      <c r="R986" s="39">
        <v>43110</v>
      </c>
      <c r="S986" s="31" t="s">
        <v>246</v>
      </c>
      <c r="T986" s="32">
        <v>2017</v>
      </c>
      <c r="U986" s="40">
        <v>43100</v>
      </c>
      <c r="V986" s="32"/>
    </row>
    <row r="987" spans="1:22" ht="19.5" customHeight="1" x14ac:dyDescent="0.3">
      <c r="A987" s="34">
        <v>2017</v>
      </c>
      <c r="B987" s="35">
        <v>43009</v>
      </c>
      <c r="C987" s="34">
        <v>1000</v>
      </c>
      <c r="D987" s="8" t="s">
        <v>84</v>
      </c>
      <c r="E987" s="6">
        <v>0</v>
      </c>
      <c r="F987" s="6">
        <v>3954132.92</v>
      </c>
      <c r="G987" s="36">
        <v>3954132.92</v>
      </c>
      <c r="H987" s="34">
        <v>1500</v>
      </c>
      <c r="I987" s="8" t="s">
        <v>84</v>
      </c>
      <c r="J987" s="6">
        <v>3954132.92</v>
      </c>
      <c r="K987" s="6">
        <v>3954132.92</v>
      </c>
      <c r="L987" s="6">
        <v>3954132.92</v>
      </c>
      <c r="M987" s="28">
        <v>377</v>
      </c>
      <c r="N987" s="7" t="s">
        <v>276</v>
      </c>
      <c r="O987" s="29" t="s">
        <v>245</v>
      </c>
      <c r="P987" s="29" t="s">
        <v>245</v>
      </c>
      <c r="Q987" s="29" t="s">
        <v>245</v>
      </c>
      <c r="R987" s="39">
        <v>43110</v>
      </c>
      <c r="S987" s="31" t="s">
        <v>246</v>
      </c>
      <c r="T987" s="32">
        <v>2017</v>
      </c>
      <c r="U987" s="40">
        <v>43100</v>
      </c>
      <c r="V987" s="32"/>
    </row>
    <row r="988" spans="1:22" ht="19.5" customHeight="1" x14ac:dyDescent="0.3">
      <c r="A988" s="34">
        <v>2017</v>
      </c>
      <c r="B988" s="35">
        <v>43009</v>
      </c>
      <c r="C988" s="34">
        <v>1000</v>
      </c>
      <c r="D988" s="8" t="s">
        <v>85</v>
      </c>
      <c r="E988" s="6">
        <v>5995394.5300000003</v>
      </c>
      <c r="F988" s="6">
        <v>9357724.1400000006</v>
      </c>
      <c r="G988" s="36">
        <v>9357724.1400000006</v>
      </c>
      <c r="H988" s="34">
        <v>1500</v>
      </c>
      <c r="I988" s="8" t="s">
        <v>85</v>
      </c>
      <c r="J988" s="6">
        <v>9357724.1400000006</v>
      </c>
      <c r="K988" s="6">
        <v>9357724.1400000006</v>
      </c>
      <c r="L988" s="6">
        <v>9357724.1400000006</v>
      </c>
      <c r="M988" s="37">
        <v>378</v>
      </c>
      <c r="N988" s="7" t="s">
        <v>276</v>
      </c>
      <c r="O988" s="29" t="s">
        <v>245</v>
      </c>
      <c r="P988" s="29" t="s">
        <v>245</v>
      </c>
      <c r="Q988" s="29" t="s">
        <v>245</v>
      </c>
      <c r="R988" s="39">
        <v>43110</v>
      </c>
      <c r="S988" s="31" t="s">
        <v>246</v>
      </c>
      <c r="T988" s="32">
        <v>2017</v>
      </c>
      <c r="U988" s="40">
        <v>43100</v>
      </c>
      <c r="V988" s="32"/>
    </row>
    <row r="989" spans="1:22" ht="19.5" customHeight="1" x14ac:dyDescent="0.3">
      <c r="A989" s="34">
        <v>2017</v>
      </c>
      <c r="B989" s="35">
        <v>43009</v>
      </c>
      <c r="C989" s="34">
        <v>1000</v>
      </c>
      <c r="D989" s="8" t="s">
        <v>86</v>
      </c>
      <c r="E989" s="6">
        <v>0</v>
      </c>
      <c r="F989" s="6">
        <v>86443.199999999997</v>
      </c>
      <c r="G989" s="36">
        <v>86443.199999999997</v>
      </c>
      <c r="H989" s="34">
        <v>1500</v>
      </c>
      <c r="I989" s="8" t="s">
        <v>86</v>
      </c>
      <c r="J989" s="6">
        <v>86443.199999999997</v>
      </c>
      <c r="K989" s="6">
        <v>86443.199999999997</v>
      </c>
      <c r="L989" s="6">
        <v>86443.199999999997</v>
      </c>
      <c r="M989" s="28">
        <v>379</v>
      </c>
      <c r="N989" s="7" t="s">
        <v>276</v>
      </c>
      <c r="O989" s="29" t="s">
        <v>245</v>
      </c>
      <c r="P989" s="29" t="s">
        <v>245</v>
      </c>
      <c r="Q989" s="29" t="s">
        <v>245</v>
      </c>
      <c r="R989" s="39">
        <v>43110</v>
      </c>
      <c r="S989" s="31" t="s">
        <v>246</v>
      </c>
      <c r="T989" s="32">
        <v>2017</v>
      </c>
      <c r="U989" s="40">
        <v>43100</v>
      </c>
      <c r="V989" s="32"/>
    </row>
    <row r="990" spans="1:22" ht="19.5" customHeight="1" x14ac:dyDescent="0.3">
      <c r="A990" s="34">
        <v>2017</v>
      </c>
      <c r="B990" s="35">
        <v>43009</v>
      </c>
      <c r="C990" s="34">
        <v>1000</v>
      </c>
      <c r="D990" s="8" t="s">
        <v>255</v>
      </c>
      <c r="E990" s="6">
        <v>0</v>
      </c>
      <c r="F990" s="6">
        <v>329413.7</v>
      </c>
      <c r="G990" s="36">
        <v>329413.7</v>
      </c>
      <c r="H990" s="34">
        <v>1500</v>
      </c>
      <c r="I990" s="8" t="s">
        <v>255</v>
      </c>
      <c r="J990" s="6">
        <v>329413.7</v>
      </c>
      <c r="K990" s="6">
        <v>329413.7</v>
      </c>
      <c r="L990" s="6">
        <v>329413.7</v>
      </c>
      <c r="M990" s="37">
        <v>380</v>
      </c>
      <c r="N990" s="7" t="s">
        <v>276</v>
      </c>
      <c r="O990" s="29" t="s">
        <v>245</v>
      </c>
      <c r="P990" s="29" t="s">
        <v>245</v>
      </c>
      <c r="Q990" s="29" t="s">
        <v>245</v>
      </c>
      <c r="R990" s="39">
        <v>43110</v>
      </c>
      <c r="S990" s="31" t="s">
        <v>246</v>
      </c>
      <c r="T990" s="32">
        <v>2017</v>
      </c>
      <c r="U990" s="40">
        <v>43100</v>
      </c>
      <c r="V990" s="32"/>
    </row>
    <row r="991" spans="1:22" ht="19.5" customHeight="1" x14ac:dyDescent="0.3">
      <c r="A991" s="34">
        <v>2017</v>
      </c>
      <c r="B991" s="35">
        <v>43009</v>
      </c>
      <c r="C991" s="34">
        <v>1000</v>
      </c>
      <c r="D991" s="8" t="s">
        <v>88</v>
      </c>
      <c r="E991" s="6">
        <v>90162085.730000004</v>
      </c>
      <c r="F991" s="6">
        <f>56175894.44+8612057.93</f>
        <v>64787952.369999997</v>
      </c>
      <c r="G991" s="36">
        <v>64787952.369999997</v>
      </c>
      <c r="H991" s="34">
        <v>1500</v>
      </c>
      <c r="I991" s="8" t="s">
        <v>88</v>
      </c>
      <c r="J991" s="6">
        <f>56175894.44+8612057.93</f>
        <v>64787952.369999997</v>
      </c>
      <c r="K991" s="6">
        <f>56175894.44+8612057.93</f>
        <v>64787952.369999997</v>
      </c>
      <c r="L991" s="6">
        <f>56175894.44+8612057.93</f>
        <v>64787952.369999997</v>
      </c>
      <c r="M991" s="28">
        <v>381</v>
      </c>
      <c r="N991" s="7" t="s">
        <v>276</v>
      </c>
      <c r="O991" s="29" t="s">
        <v>245</v>
      </c>
      <c r="P991" s="29" t="s">
        <v>245</v>
      </c>
      <c r="Q991" s="29" t="s">
        <v>245</v>
      </c>
      <c r="R991" s="39">
        <v>43110</v>
      </c>
      <c r="S991" s="31" t="s">
        <v>246</v>
      </c>
      <c r="T991" s="32">
        <v>2017</v>
      </c>
      <c r="U991" s="40">
        <v>43100</v>
      </c>
      <c r="V991" s="32"/>
    </row>
    <row r="992" spans="1:22" ht="19.5" customHeight="1" x14ac:dyDescent="0.3">
      <c r="A992" s="34">
        <v>2017</v>
      </c>
      <c r="B992" s="35">
        <v>43009</v>
      </c>
      <c r="C992" s="34">
        <v>1000</v>
      </c>
      <c r="D992" s="8" t="s">
        <v>89</v>
      </c>
      <c r="E992" s="6">
        <v>0</v>
      </c>
      <c r="F992" s="6">
        <f>950475+393796.8</f>
        <v>1344271.8</v>
      </c>
      <c r="G992" s="36">
        <v>950475</v>
      </c>
      <c r="H992" s="34">
        <v>1500</v>
      </c>
      <c r="I992" s="8" t="s">
        <v>89</v>
      </c>
      <c r="J992" s="6">
        <f>950475+393796.8</f>
        <v>1344271.8</v>
      </c>
      <c r="K992" s="6">
        <f>950475+393796.8</f>
        <v>1344271.8</v>
      </c>
      <c r="L992" s="6">
        <f>950475+393796.8</f>
        <v>1344271.8</v>
      </c>
      <c r="M992" s="37">
        <v>382</v>
      </c>
      <c r="N992" s="7" t="s">
        <v>276</v>
      </c>
      <c r="O992" s="29" t="s">
        <v>245</v>
      </c>
      <c r="P992" s="29" t="s">
        <v>245</v>
      </c>
      <c r="Q992" s="29" t="s">
        <v>245</v>
      </c>
      <c r="R992" s="39">
        <v>43110</v>
      </c>
      <c r="S992" s="31" t="s">
        <v>246</v>
      </c>
      <c r="T992" s="32">
        <v>2017</v>
      </c>
      <c r="U992" s="40">
        <v>43100</v>
      </c>
      <c r="V992" s="32"/>
    </row>
    <row r="993" spans="1:22" ht="19.5" customHeight="1" x14ac:dyDescent="0.3">
      <c r="A993" s="34">
        <v>2017</v>
      </c>
      <c r="B993" s="35">
        <v>43009</v>
      </c>
      <c r="C993" s="34">
        <v>1000</v>
      </c>
      <c r="D993" s="8" t="s">
        <v>90</v>
      </c>
      <c r="E993" s="6">
        <v>0</v>
      </c>
      <c r="F993" s="6">
        <v>393796.8</v>
      </c>
      <c r="G993" s="36">
        <v>393796.8</v>
      </c>
      <c r="H993" s="34">
        <v>1500</v>
      </c>
      <c r="I993" s="8" t="s">
        <v>90</v>
      </c>
      <c r="J993" s="6"/>
      <c r="K993" s="6"/>
      <c r="L993" s="6"/>
      <c r="M993" s="28">
        <v>383</v>
      </c>
      <c r="N993" s="7" t="s">
        <v>276</v>
      </c>
      <c r="O993" s="29" t="s">
        <v>245</v>
      </c>
      <c r="P993" s="29" t="s">
        <v>245</v>
      </c>
      <c r="Q993" s="29" t="s">
        <v>245</v>
      </c>
      <c r="R993" s="39">
        <v>43110</v>
      </c>
      <c r="S993" s="31" t="s">
        <v>246</v>
      </c>
      <c r="T993" s="32">
        <v>2017</v>
      </c>
      <c r="U993" s="40">
        <v>43100</v>
      </c>
      <c r="V993" s="32"/>
    </row>
    <row r="994" spans="1:22" ht="19.5" customHeight="1" x14ac:dyDescent="0.3">
      <c r="A994" s="34">
        <v>2017</v>
      </c>
      <c r="B994" s="35">
        <v>43009</v>
      </c>
      <c r="C994" s="34">
        <v>1000</v>
      </c>
      <c r="D994" s="7" t="s">
        <v>91</v>
      </c>
      <c r="E994" s="6">
        <v>370490379.48000002</v>
      </c>
      <c r="F994" s="6">
        <f>338239881.14+59917317.61</f>
        <v>398157198.75</v>
      </c>
      <c r="G994" s="36">
        <v>398157198.74999994</v>
      </c>
      <c r="H994" s="34">
        <v>1500</v>
      </c>
      <c r="I994" s="7" t="s">
        <v>91</v>
      </c>
      <c r="J994" s="6">
        <f>338239881.14+59917317.61</f>
        <v>398157198.75</v>
      </c>
      <c r="K994" s="6">
        <f>338239881.14+59917317.61</f>
        <v>398157198.75</v>
      </c>
      <c r="L994" s="6">
        <f>338239881.14+59917317.61</f>
        <v>398157198.75</v>
      </c>
      <c r="M994" s="37">
        <v>384</v>
      </c>
      <c r="N994" s="7" t="s">
        <v>276</v>
      </c>
      <c r="O994" s="29" t="s">
        <v>245</v>
      </c>
      <c r="P994" s="29" t="s">
        <v>245</v>
      </c>
      <c r="Q994" s="29" t="s">
        <v>245</v>
      </c>
      <c r="R994" s="39">
        <v>43110</v>
      </c>
      <c r="S994" s="31" t="s">
        <v>246</v>
      </c>
      <c r="T994" s="32">
        <v>2017</v>
      </c>
      <c r="U994" s="40">
        <v>43100</v>
      </c>
      <c r="V994" s="32"/>
    </row>
    <row r="995" spans="1:22" ht="19.5" customHeight="1" x14ac:dyDescent="0.3">
      <c r="A995" s="34">
        <v>2017</v>
      </c>
      <c r="B995" s="35">
        <v>43009</v>
      </c>
      <c r="C995" s="34">
        <v>2000</v>
      </c>
      <c r="D995" s="8" t="s">
        <v>93</v>
      </c>
      <c r="E995" s="6">
        <v>3095898.37</v>
      </c>
      <c r="F995" s="6">
        <f>28620.46+742.4+1294892.76+793.44</f>
        <v>1325049.06</v>
      </c>
      <c r="G995" s="36">
        <v>1325049.0600000003</v>
      </c>
      <c r="H995" s="34">
        <v>2100</v>
      </c>
      <c r="I995" s="8" t="s">
        <v>93</v>
      </c>
      <c r="J995" s="6">
        <v>1325049.06</v>
      </c>
      <c r="K995" s="6">
        <v>1325049.06</v>
      </c>
      <c r="L995" s="6">
        <v>1325049.06</v>
      </c>
      <c r="M995" s="28">
        <v>385</v>
      </c>
      <c r="N995" s="7" t="s">
        <v>277</v>
      </c>
      <c r="O995" s="29" t="s">
        <v>245</v>
      </c>
      <c r="P995" s="29" t="s">
        <v>245</v>
      </c>
      <c r="Q995" s="29" t="s">
        <v>245</v>
      </c>
      <c r="R995" s="39">
        <v>43110</v>
      </c>
      <c r="S995" s="31" t="s">
        <v>246</v>
      </c>
      <c r="T995" s="32">
        <v>2017</v>
      </c>
      <c r="U995" s="40">
        <v>43100</v>
      </c>
      <c r="V995" s="32"/>
    </row>
    <row r="996" spans="1:22" ht="19.5" customHeight="1" x14ac:dyDescent="0.3">
      <c r="A996" s="34">
        <v>2017</v>
      </c>
      <c r="B996" s="35">
        <v>43009</v>
      </c>
      <c r="C996" s="34">
        <v>2000</v>
      </c>
      <c r="D996" s="8" t="s">
        <v>94</v>
      </c>
      <c r="E996" s="6">
        <v>857074.2</v>
      </c>
      <c r="F996" s="6">
        <f>7551.6+3097.9+94127</f>
        <v>104776.5</v>
      </c>
      <c r="G996" s="36">
        <v>104776.50000000001</v>
      </c>
      <c r="H996" s="34">
        <v>2100</v>
      </c>
      <c r="I996" s="8" t="s">
        <v>94</v>
      </c>
      <c r="J996" s="6">
        <v>104776.5</v>
      </c>
      <c r="K996" s="6">
        <v>104776.5</v>
      </c>
      <c r="L996" s="6">
        <v>104776.5</v>
      </c>
      <c r="M996" s="37">
        <v>386</v>
      </c>
      <c r="N996" s="7" t="s">
        <v>277</v>
      </c>
      <c r="O996" s="29" t="s">
        <v>245</v>
      </c>
      <c r="P996" s="29" t="s">
        <v>245</v>
      </c>
      <c r="Q996" s="29" t="s">
        <v>245</v>
      </c>
      <c r="R996" s="39">
        <v>43110</v>
      </c>
      <c r="S996" s="31" t="s">
        <v>246</v>
      </c>
      <c r="T996" s="32">
        <v>2017</v>
      </c>
      <c r="U996" s="40">
        <v>43100</v>
      </c>
      <c r="V996" s="32"/>
    </row>
    <row r="997" spans="1:22" ht="19.5" customHeight="1" x14ac:dyDescent="0.3">
      <c r="A997" s="34">
        <v>2017</v>
      </c>
      <c r="B997" s="35">
        <v>43009</v>
      </c>
      <c r="C997" s="34">
        <v>2000</v>
      </c>
      <c r="D997" s="8" t="s">
        <v>95</v>
      </c>
      <c r="E997" s="6">
        <v>4345428</v>
      </c>
      <c r="F997" s="6">
        <f>124094.34+1141072.41+9963.3</f>
        <v>1275130.05</v>
      </c>
      <c r="G997" s="36">
        <v>1275130.05</v>
      </c>
      <c r="H997" s="34">
        <v>2100</v>
      </c>
      <c r="I997" s="8" t="s">
        <v>95</v>
      </c>
      <c r="J997" s="6">
        <v>1275130.05</v>
      </c>
      <c r="K997" s="6">
        <v>1275130.05</v>
      </c>
      <c r="L997" s="6">
        <v>1275130.05</v>
      </c>
      <c r="M997" s="28">
        <v>387</v>
      </c>
      <c r="N997" s="7" t="s">
        <v>277</v>
      </c>
      <c r="O997" s="29" t="s">
        <v>245</v>
      </c>
      <c r="P997" s="29" t="s">
        <v>245</v>
      </c>
      <c r="Q997" s="29" t="s">
        <v>245</v>
      </c>
      <c r="R997" s="39">
        <v>43110</v>
      </c>
      <c r="S997" s="31" t="s">
        <v>246</v>
      </c>
      <c r="T997" s="32">
        <v>2017</v>
      </c>
      <c r="U997" s="40">
        <v>43100</v>
      </c>
      <c r="V997" s="32"/>
    </row>
    <row r="998" spans="1:22" ht="19.5" customHeight="1" x14ac:dyDescent="0.3">
      <c r="A998" s="34">
        <v>2017</v>
      </c>
      <c r="B998" s="35">
        <v>43009</v>
      </c>
      <c r="C998" s="34">
        <v>2000</v>
      </c>
      <c r="D998" s="8" t="s">
        <v>96</v>
      </c>
      <c r="E998" s="6">
        <v>690025</v>
      </c>
      <c r="F998" s="6">
        <f>153201.39+49325+227445.75</f>
        <v>429972.14</v>
      </c>
      <c r="G998" s="36">
        <v>429972.14</v>
      </c>
      <c r="H998" s="34">
        <v>2100</v>
      </c>
      <c r="I998" s="8" t="s">
        <v>96</v>
      </c>
      <c r="J998" s="6">
        <v>429972.14</v>
      </c>
      <c r="K998" s="6">
        <v>429972.14</v>
      </c>
      <c r="L998" s="6">
        <v>429972.14</v>
      </c>
      <c r="M998" s="37">
        <v>388</v>
      </c>
      <c r="N998" s="7" t="s">
        <v>277</v>
      </c>
      <c r="O998" s="29" t="s">
        <v>245</v>
      </c>
      <c r="P998" s="29" t="s">
        <v>245</v>
      </c>
      <c r="Q998" s="29" t="s">
        <v>245</v>
      </c>
      <c r="R998" s="39">
        <v>43110</v>
      </c>
      <c r="S998" s="31" t="s">
        <v>246</v>
      </c>
      <c r="T998" s="32">
        <v>2017</v>
      </c>
      <c r="U998" s="40">
        <v>43100</v>
      </c>
      <c r="V998" s="32"/>
    </row>
    <row r="999" spans="1:22" ht="19.5" customHeight="1" x14ac:dyDescent="0.3">
      <c r="A999" s="34">
        <v>2017</v>
      </c>
      <c r="B999" s="35">
        <v>43009</v>
      </c>
      <c r="C999" s="34">
        <v>2000</v>
      </c>
      <c r="D999" s="8" t="s">
        <v>97</v>
      </c>
      <c r="E999" s="6">
        <v>1885159.2</v>
      </c>
      <c r="F999" s="6">
        <f>147+1240249.61+32198.06</f>
        <v>1272594.6700000002</v>
      </c>
      <c r="G999" s="36">
        <v>1272594.6700000002</v>
      </c>
      <c r="H999" s="34">
        <v>2100</v>
      </c>
      <c r="I999" s="8" t="s">
        <v>97</v>
      </c>
      <c r="J999" s="6">
        <v>1272594.67</v>
      </c>
      <c r="K999" s="6">
        <v>1272594.67</v>
      </c>
      <c r="L999" s="6">
        <v>1272594.67</v>
      </c>
      <c r="M999" s="28">
        <v>389</v>
      </c>
      <c r="N999" s="7" t="s">
        <v>277</v>
      </c>
      <c r="O999" s="29" t="s">
        <v>245</v>
      </c>
      <c r="P999" s="29" t="s">
        <v>245</v>
      </c>
      <c r="Q999" s="29" t="s">
        <v>245</v>
      </c>
      <c r="R999" s="39">
        <v>43110</v>
      </c>
      <c r="S999" s="31" t="s">
        <v>246</v>
      </c>
      <c r="T999" s="32">
        <v>2017</v>
      </c>
      <c r="U999" s="40">
        <v>43100</v>
      </c>
      <c r="V999" s="32"/>
    </row>
    <row r="1000" spans="1:22" ht="19.5" customHeight="1" x14ac:dyDescent="0.3">
      <c r="A1000" s="34">
        <v>2017</v>
      </c>
      <c r="B1000" s="35">
        <v>43009</v>
      </c>
      <c r="C1000" s="34">
        <v>2000</v>
      </c>
      <c r="D1000" s="8" t="s">
        <v>98</v>
      </c>
      <c r="E1000" s="6">
        <v>39650</v>
      </c>
      <c r="F1000" s="6">
        <f>1699.99+8403.04+54922.61</f>
        <v>65025.64</v>
      </c>
      <c r="G1000" s="36">
        <v>65025.640000000007</v>
      </c>
      <c r="H1000" s="34">
        <v>2100</v>
      </c>
      <c r="I1000" s="8" t="s">
        <v>98</v>
      </c>
      <c r="J1000" s="6">
        <v>65025.64</v>
      </c>
      <c r="K1000" s="6">
        <v>65025.64</v>
      </c>
      <c r="L1000" s="6">
        <v>65025.64</v>
      </c>
      <c r="M1000" s="37">
        <v>390</v>
      </c>
      <c r="N1000" s="7" t="s">
        <v>277</v>
      </c>
      <c r="O1000" s="29" t="s">
        <v>245</v>
      </c>
      <c r="P1000" s="29" t="s">
        <v>245</v>
      </c>
      <c r="Q1000" s="29" t="s">
        <v>245</v>
      </c>
      <c r="R1000" s="39">
        <v>43110</v>
      </c>
      <c r="S1000" s="31" t="s">
        <v>246</v>
      </c>
      <c r="T1000" s="32">
        <v>2017</v>
      </c>
      <c r="U1000" s="40">
        <v>43100</v>
      </c>
      <c r="V1000" s="32"/>
    </row>
    <row r="1001" spans="1:22" ht="19.5" customHeight="1" x14ac:dyDescent="0.3">
      <c r="A1001" s="34">
        <v>2017</v>
      </c>
      <c r="B1001" s="35">
        <v>43009</v>
      </c>
      <c r="C1001" s="34">
        <v>2000</v>
      </c>
      <c r="D1001" s="7" t="s">
        <v>99</v>
      </c>
      <c r="E1001" s="6">
        <v>15000</v>
      </c>
      <c r="F1001" s="6">
        <v>31711.5</v>
      </c>
      <c r="G1001" s="36">
        <v>31711.5</v>
      </c>
      <c r="H1001" s="34">
        <v>2100</v>
      </c>
      <c r="I1001" s="7" t="s">
        <v>99</v>
      </c>
      <c r="J1001" s="6">
        <v>31711.5</v>
      </c>
      <c r="K1001" s="6">
        <v>31711.5</v>
      </c>
      <c r="L1001" s="6">
        <v>31711.5</v>
      </c>
      <c r="M1001" s="28">
        <v>391</v>
      </c>
      <c r="N1001" s="7" t="s">
        <v>277</v>
      </c>
      <c r="O1001" s="29" t="s">
        <v>245</v>
      </c>
      <c r="P1001" s="29" t="s">
        <v>245</v>
      </c>
      <c r="Q1001" s="29" t="s">
        <v>245</v>
      </c>
      <c r="R1001" s="39">
        <v>43110</v>
      </c>
      <c r="S1001" s="31" t="s">
        <v>246</v>
      </c>
      <c r="T1001" s="32">
        <v>2017</v>
      </c>
      <c r="U1001" s="40">
        <v>43100</v>
      </c>
      <c r="V1001" s="32"/>
    </row>
    <row r="1002" spans="1:22" ht="19.5" customHeight="1" x14ac:dyDescent="0.3">
      <c r="A1002" s="34">
        <v>2017</v>
      </c>
      <c r="B1002" s="35">
        <v>43009</v>
      </c>
      <c r="C1002" s="34">
        <v>2000</v>
      </c>
      <c r="D1002" s="8" t="s">
        <v>100</v>
      </c>
      <c r="E1002" s="6">
        <v>15352041.029999999</v>
      </c>
      <c r="F1002" s="6">
        <f>1961255.89+13398911.43+11595.36</f>
        <v>15371762.68</v>
      </c>
      <c r="G1002" s="36">
        <v>15371762.68</v>
      </c>
      <c r="H1002" s="34">
        <v>2200</v>
      </c>
      <c r="I1002" s="8" t="s">
        <v>100</v>
      </c>
      <c r="J1002" s="6">
        <v>15371762.68</v>
      </c>
      <c r="K1002" s="6">
        <v>15371762.68</v>
      </c>
      <c r="L1002" s="6">
        <v>15371762.68</v>
      </c>
      <c r="M1002" s="37">
        <v>392</v>
      </c>
      <c r="N1002" s="7" t="s">
        <v>277</v>
      </c>
      <c r="O1002" s="29" t="s">
        <v>245</v>
      </c>
      <c r="P1002" s="29" t="s">
        <v>245</v>
      </c>
      <c r="Q1002" s="29" t="s">
        <v>245</v>
      </c>
      <c r="R1002" s="39">
        <v>43110</v>
      </c>
      <c r="S1002" s="31" t="s">
        <v>246</v>
      </c>
      <c r="T1002" s="32">
        <v>2017</v>
      </c>
      <c r="U1002" s="40">
        <v>43100</v>
      </c>
      <c r="V1002" s="32"/>
    </row>
    <row r="1003" spans="1:22" ht="19.5" customHeight="1" x14ac:dyDescent="0.3">
      <c r="A1003" s="34">
        <v>2017</v>
      </c>
      <c r="B1003" s="35">
        <v>43009</v>
      </c>
      <c r="C1003" s="34">
        <v>2000</v>
      </c>
      <c r="D1003" s="8" t="s">
        <v>278</v>
      </c>
      <c r="E1003" s="6">
        <v>0</v>
      </c>
      <c r="F1003" s="6">
        <v>95.31</v>
      </c>
      <c r="G1003" s="36">
        <v>95.31</v>
      </c>
      <c r="H1003" s="34">
        <v>2200</v>
      </c>
      <c r="I1003" s="8" t="s">
        <v>278</v>
      </c>
      <c r="J1003" s="6">
        <v>95.31</v>
      </c>
      <c r="K1003" s="6">
        <v>95.31</v>
      </c>
      <c r="L1003" s="6">
        <v>95.31</v>
      </c>
      <c r="M1003" s="28">
        <v>393</v>
      </c>
      <c r="N1003" s="7" t="s">
        <v>277</v>
      </c>
      <c r="O1003" s="29" t="s">
        <v>245</v>
      </c>
      <c r="P1003" s="29" t="s">
        <v>245</v>
      </c>
      <c r="Q1003" s="29" t="s">
        <v>245</v>
      </c>
      <c r="R1003" s="39">
        <v>43110</v>
      </c>
      <c r="S1003" s="31" t="s">
        <v>246</v>
      </c>
      <c r="T1003" s="32">
        <v>2017</v>
      </c>
      <c r="U1003" s="40">
        <v>43100</v>
      </c>
      <c r="V1003" s="32"/>
    </row>
    <row r="1004" spans="1:22" ht="19.5" customHeight="1" x14ac:dyDescent="0.3">
      <c r="A1004" s="34">
        <v>2017</v>
      </c>
      <c r="B1004" s="35">
        <v>43009</v>
      </c>
      <c r="C1004" s="34">
        <v>2000</v>
      </c>
      <c r="D1004" s="8" t="s">
        <v>101</v>
      </c>
      <c r="E1004" s="6">
        <v>134400</v>
      </c>
      <c r="F1004" s="6">
        <f>19277.57+1624+157670.27+996.44</f>
        <v>179568.28</v>
      </c>
      <c r="G1004" s="36">
        <v>179568.28</v>
      </c>
      <c r="H1004" s="34">
        <v>2200</v>
      </c>
      <c r="I1004" s="8" t="s">
        <v>101</v>
      </c>
      <c r="J1004" s="6">
        <v>179568.28</v>
      </c>
      <c r="K1004" s="6">
        <v>179568.28</v>
      </c>
      <c r="L1004" s="6">
        <v>179568.28</v>
      </c>
      <c r="M1004" s="37">
        <v>394</v>
      </c>
      <c r="N1004" s="7" t="s">
        <v>277</v>
      </c>
      <c r="O1004" s="29" t="s">
        <v>245</v>
      </c>
      <c r="P1004" s="29" t="s">
        <v>245</v>
      </c>
      <c r="Q1004" s="29" t="s">
        <v>245</v>
      </c>
      <c r="R1004" s="39">
        <v>43110</v>
      </c>
      <c r="S1004" s="31" t="s">
        <v>246</v>
      </c>
      <c r="T1004" s="32">
        <v>2017</v>
      </c>
      <c r="U1004" s="40">
        <v>43100</v>
      </c>
      <c r="V1004" s="32"/>
    </row>
    <row r="1005" spans="1:22" ht="19.5" customHeight="1" x14ac:dyDescent="0.3">
      <c r="A1005" s="34">
        <v>2017</v>
      </c>
      <c r="B1005" s="35">
        <v>43009</v>
      </c>
      <c r="C1005" s="34">
        <v>2000</v>
      </c>
      <c r="D1005" s="7" t="s">
        <v>102</v>
      </c>
      <c r="E1005" s="6">
        <v>1500</v>
      </c>
      <c r="F1005" s="6">
        <v>0</v>
      </c>
      <c r="G1005" s="36">
        <v>0</v>
      </c>
      <c r="H1005" s="34">
        <v>2300</v>
      </c>
      <c r="I1005" s="7" t="s">
        <v>102</v>
      </c>
      <c r="J1005" s="6">
        <v>0</v>
      </c>
      <c r="K1005" s="6">
        <v>0</v>
      </c>
      <c r="L1005" s="6">
        <v>0</v>
      </c>
      <c r="M1005" s="28">
        <v>395</v>
      </c>
      <c r="N1005" s="7" t="s">
        <v>277</v>
      </c>
      <c r="O1005" s="29" t="s">
        <v>245</v>
      </c>
      <c r="P1005" s="29" t="s">
        <v>245</v>
      </c>
      <c r="Q1005" s="29" t="s">
        <v>245</v>
      </c>
      <c r="R1005" s="39">
        <v>43110</v>
      </c>
      <c r="S1005" s="31" t="s">
        <v>246</v>
      </c>
      <c r="T1005" s="32">
        <v>2017</v>
      </c>
      <c r="U1005" s="40">
        <v>43100</v>
      </c>
      <c r="V1005" s="32"/>
    </row>
    <row r="1006" spans="1:22" ht="19.5" customHeight="1" x14ac:dyDescent="0.3">
      <c r="A1006" s="34">
        <v>2017</v>
      </c>
      <c r="B1006" s="35">
        <v>43009</v>
      </c>
      <c r="C1006" s="34">
        <v>2000</v>
      </c>
      <c r="D1006" s="7" t="s">
        <v>103</v>
      </c>
      <c r="E1006" s="6">
        <v>0</v>
      </c>
      <c r="F1006" s="6">
        <v>542148.1</v>
      </c>
      <c r="G1006" s="36">
        <v>542148.1</v>
      </c>
      <c r="H1006" s="34">
        <v>2300</v>
      </c>
      <c r="I1006" s="7" t="s">
        <v>103</v>
      </c>
      <c r="J1006" s="6">
        <v>542148.1</v>
      </c>
      <c r="K1006" s="6">
        <v>542148.1</v>
      </c>
      <c r="L1006" s="6">
        <v>542148.1</v>
      </c>
      <c r="M1006" s="37">
        <v>396</v>
      </c>
      <c r="N1006" s="7" t="s">
        <v>277</v>
      </c>
      <c r="O1006" s="29" t="s">
        <v>245</v>
      </c>
      <c r="P1006" s="29" t="s">
        <v>245</v>
      </c>
      <c r="Q1006" s="29" t="s">
        <v>245</v>
      </c>
      <c r="R1006" s="39">
        <v>43110</v>
      </c>
      <c r="S1006" s="31" t="s">
        <v>246</v>
      </c>
      <c r="T1006" s="32">
        <v>2017</v>
      </c>
      <c r="U1006" s="40">
        <v>43100</v>
      </c>
      <c r="V1006" s="32"/>
    </row>
    <row r="1007" spans="1:22" ht="19.5" customHeight="1" x14ac:dyDescent="0.3">
      <c r="A1007" s="34">
        <v>2017</v>
      </c>
      <c r="B1007" s="35">
        <v>43009</v>
      </c>
      <c r="C1007" s="34">
        <v>2000</v>
      </c>
      <c r="D1007" s="7" t="s">
        <v>104</v>
      </c>
      <c r="E1007" s="6">
        <v>483840</v>
      </c>
      <c r="F1007" s="6">
        <v>237441.34</v>
      </c>
      <c r="G1007" s="36">
        <v>237441.34</v>
      </c>
      <c r="H1007" s="34">
        <v>2300</v>
      </c>
      <c r="I1007" s="7" t="s">
        <v>104</v>
      </c>
      <c r="J1007" s="6">
        <v>237441.34</v>
      </c>
      <c r="K1007" s="6">
        <v>237441.34</v>
      </c>
      <c r="L1007" s="6">
        <v>237441.34</v>
      </c>
      <c r="M1007" s="28">
        <v>397</v>
      </c>
      <c r="N1007" s="7" t="s">
        <v>277</v>
      </c>
      <c r="O1007" s="29" t="s">
        <v>245</v>
      </c>
      <c r="P1007" s="29" t="s">
        <v>245</v>
      </c>
      <c r="Q1007" s="29" t="s">
        <v>245</v>
      </c>
      <c r="R1007" s="39">
        <v>43110</v>
      </c>
      <c r="S1007" s="31" t="s">
        <v>246</v>
      </c>
      <c r="T1007" s="32">
        <v>2017</v>
      </c>
      <c r="U1007" s="40">
        <v>43100</v>
      </c>
      <c r="V1007" s="32"/>
    </row>
    <row r="1008" spans="1:22" ht="19.5" customHeight="1" x14ac:dyDescent="0.3">
      <c r="A1008" s="34">
        <v>2017</v>
      </c>
      <c r="B1008" s="35">
        <v>43009</v>
      </c>
      <c r="C1008" s="34">
        <v>2000</v>
      </c>
      <c r="D1008" s="7" t="s">
        <v>216</v>
      </c>
      <c r="E1008" s="6">
        <v>0</v>
      </c>
      <c r="F1008" s="6">
        <v>1571.31</v>
      </c>
      <c r="G1008" s="36">
        <v>1571.31</v>
      </c>
      <c r="H1008" s="34">
        <v>2300</v>
      </c>
      <c r="I1008" s="7" t="s">
        <v>216</v>
      </c>
      <c r="J1008" s="6">
        <v>1571.31</v>
      </c>
      <c r="K1008" s="6">
        <v>1571.31</v>
      </c>
      <c r="L1008" s="6">
        <v>1571.31</v>
      </c>
      <c r="M1008" s="37">
        <v>398</v>
      </c>
      <c r="N1008" s="7" t="s">
        <v>277</v>
      </c>
      <c r="O1008" s="29" t="s">
        <v>245</v>
      </c>
      <c r="P1008" s="29" t="s">
        <v>245</v>
      </c>
      <c r="Q1008" s="29" t="s">
        <v>245</v>
      </c>
      <c r="R1008" s="39">
        <v>43110</v>
      </c>
      <c r="S1008" s="31" t="s">
        <v>246</v>
      </c>
      <c r="T1008" s="32">
        <v>2017</v>
      </c>
      <c r="U1008" s="40">
        <v>43100</v>
      </c>
      <c r="V1008" s="32"/>
    </row>
    <row r="1009" spans="1:22" ht="19.5" customHeight="1" x14ac:dyDescent="0.3">
      <c r="A1009" s="34">
        <v>2017</v>
      </c>
      <c r="B1009" s="35">
        <v>43009</v>
      </c>
      <c r="C1009" s="34">
        <v>2000</v>
      </c>
      <c r="D1009" s="7" t="s">
        <v>257</v>
      </c>
      <c r="E1009" s="6">
        <v>0</v>
      </c>
      <c r="F1009" s="6">
        <v>9416.0300000000007</v>
      </c>
      <c r="G1009" s="36">
        <v>9416.0300000000007</v>
      </c>
      <c r="H1009" s="34">
        <v>2300</v>
      </c>
      <c r="I1009" s="7" t="s">
        <v>257</v>
      </c>
      <c r="J1009" s="6">
        <v>9416.0300000000007</v>
      </c>
      <c r="K1009" s="6">
        <v>9416.0300000000007</v>
      </c>
      <c r="L1009" s="6">
        <v>9416.0300000000007</v>
      </c>
      <c r="M1009" s="28">
        <v>399</v>
      </c>
      <c r="N1009" s="7" t="s">
        <v>277</v>
      </c>
      <c r="O1009" s="29" t="s">
        <v>245</v>
      </c>
      <c r="P1009" s="29" t="s">
        <v>245</v>
      </c>
      <c r="Q1009" s="29" t="s">
        <v>245</v>
      </c>
      <c r="R1009" s="39">
        <v>43110</v>
      </c>
      <c r="S1009" s="31" t="s">
        <v>246</v>
      </c>
      <c r="T1009" s="32">
        <v>2017</v>
      </c>
      <c r="U1009" s="40">
        <v>43100</v>
      </c>
      <c r="V1009" s="32"/>
    </row>
    <row r="1010" spans="1:22" ht="19.5" customHeight="1" x14ac:dyDescent="0.3">
      <c r="A1010" s="34">
        <v>2017</v>
      </c>
      <c r="B1010" s="35">
        <v>43009</v>
      </c>
      <c r="C1010" s="34">
        <v>2000</v>
      </c>
      <c r="D1010" s="7" t="s">
        <v>107</v>
      </c>
      <c r="E1010" s="6">
        <v>0</v>
      </c>
      <c r="F1010" s="6">
        <v>253</v>
      </c>
      <c r="G1010" s="36">
        <v>253</v>
      </c>
      <c r="H1010" s="34">
        <v>2400</v>
      </c>
      <c r="I1010" s="7" t="s">
        <v>107</v>
      </c>
      <c r="J1010" s="6">
        <v>253</v>
      </c>
      <c r="K1010" s="6">
        <v>253</v>
      </c>
      <c r="L1010" s="6">
        <v>253</v>
      </c>
      <c r="M1010" s="37">
        <v>400</v>
      </c>
      <c r="N1010" s="7" t="s">
        <v>277</v>
      </c>
      <c r="O1010" s="29" t="s">
        <v>245</v>
      </c>
      <c r="P1010" s="29" t="s">
        <v>245</v>
      </c>
      <c r="Q1010" s="29" t="s">
        <v>245</v>
      </c>
      <c r="R1010" s="39">
        <v>43110</v>
      </c>
      <c r="S1010" s="31" t="s">
        <v>246</v>
      </c>
      <c r="T1010" s="32">
        <v>2017</v>
      </c>
      <c r="U1010" s="40">
        <v>43100</v>
      </c>
      <c r="V1010" s="32"/>
    </row>
    <row r="1011" spans="1:22" ht="19.5" customHeight="1" x14ac:dyDescent="0.3">
      <c r="A1011" s="34">
        <v>2017</v>
      </c>
      <c r="B1011" s="35">
        <v>43009</v>
      </c>
      <c r="C1011" s="34">
        <v>2000</v>
      </c>
      <c r="D1011" s="7" t="s">
        <v>109</v>
      </c>
      <c r="E1011" s="6">
        <v>23200</v>
      </c>
      <c r="F1011" s="6">
        <v>16572.259999999998</v>
      </c>
      <c r="G1011" s="36">
        <v>16572.259999999998</v>
      </c>
      <c r="H1011" s="34">
        <v>2400</v>
      </c>
      <c r="I1011" s="7" t="s">
        <v>109</v>
      </c>
      <c r="J1011" s="6">
        <v>16572.259999999998</v>
      </c>
      <c r="K1011" s="6">
        <v>16572.259999999998</v>
      </c>
      <c r="L1011" s="6">
        <v>16572.259999999998</v>
      </c>
      <c r="M1011" s="28">
        <v>401</v>
      </c>
      <c r="N1011" s="7" t="s">
        <v>277</v>
      </c>
      <c r="O1011" s="29" t="s">
        <v>245</v>
      </c>
      <c r="P1011" s="29" t="s">
        <v>245</v>
      </c>
      <c r="Q1011" s="29" t="s">
        <v>245</v>
      </c>
      <c r="R1011" s="39">
        <v>43110</v>
      </c>
      <c r="S1011" s="31" t="s">
        <v>246</v>
      </c>
      <c r="T1011" s="32">
        <v>2017</v>
      </c>
      <c r="U1011" s="40">
        <v>43100</v>
      </c>
      <c r="V1011" s="32"/>
    </row>
    <row r="1012" spans="1:22" ht="19.5" customHeight="1" x14ac:dyDescent="0.3">
      <c r="A1012" s="34">
        <v>2017</v>
      </c>
      <c r="B1012" s="35">
        <v>43009</v>
      </c>
      <c r="C1012" s="34">
        <v>2000</v>
      </c>
      <c r="D1012" s="7" t="s">
        <v>110</v>
      </c>
      <c r="E1012" s="6">
        <v>0</v>
      </c>
      <c r="F1012" s="6">
        <v>752.12</v>
      </c>
      <c r="G1012" s="36">
        <v>752.12</v>
      </c>
      <c r="H1012" s="34">
        <v>2400</v>
      </c>
      <c r="I1012" s="7" t="s">
        <v>110</v>
      </c>
      <c r="J1012" s="6">
        <v>752.12</v>
      </c>
      <c r="K1012" s="6">
        <v>752.12</v>
      </c>
      <c r="L1012" s="6">
        <v>752.12</v>
      </c>
      <c r="M1012" s="37">
        <v>402</v>
      </c>
      <c r="N1012" s="7" t="s">
        <v>277</v>
      </c>
      <c r="O1012" s="29" t="s">
        <v>245</v>
      </c>
      <c r="P1012" s="29" t="s">
        <v>245</v>
      </c>
      <c r="Q1012" s="29" t="s">
        <v>245</v>
      </c>
      <c r="R1012" s="39">
        <v>43110</v>
      </c>
      <c r="S1012" s="31" t="s">
        <v>246</v>
      </c>
      <c r="T1012" s="32">
        <v>2017</v>
      </c>
      <c r="U1012" s="40">
        <v>43100</v>
      </c>
      <c r="V1012" s="32"/>
    </row>
    <row r="1013" spans="1:22" ht="19.5" customHeight="1" x14ac:dyDescent="0.3">
      <c r="A1013" s="34">
        <v>2017</v>
      </c>
      <c r="B1013" s="35">
        <v>43009</v>
      </c>
      <c r="C1013" s="34">
        <v>2000</v>
      </c>
      <c r="D1013" s="7" t="s">
        <v>111</v>
      </c>
      <c r="E1013" s="6">
        <v>845263.86</v>
      </c>
      <c r="F1013" s="6">
        <f>235784.75+19311.68+401130.24+1261982.46</f>
        <v>1918209.13</v>
      </c>
      <c r="G1013" s="36">
        <v>1918209.1300000004</v>
      </c>
      <c r="H1013" s="34">
        <v>2400</v>
      </c>
      <c r="I1013" s="7" t="s">
        <v>111</v>
      </c>
      <c r="J1013" s="6">
        <v>1918209.13</v>
      </c>
      <c r="K1013" s="6">
        <v>1918209.13</v>
      </c>
      <c r="L1013" s="6">
        <v>1918209.13</v>
      </c>
      <c r="M1013" s="28">
        <v>403</v>
      </c>
      <c r="N1013" s="7" t="s">
        <v>277</v>
      </c>
      <c r="O1013" s="29" t="s">
        <v>245</v>
      </c>
      <c r="P1013" s="29" t="s">
        <v>245</v>
      </c>
      <c r="Q1013" s="29" t="s">
        <v>245</v>
      </c>
      <c r="R1013" s="39">
        <v>43110</v>
      </c>
      <c r="S1013" s="31" t="s">
        <v>246</v>
      </c>
      <c r="T1013" s="32">
        <v>2017</v>
      </c>
      <c r="U1013" s="40">
        <v>43100</v>
      </c>
      <c r="V1013" s="32"/>
    </row>
    <row r="1014" spans="1:22" ht="19.5" customHeight="1" x14ac:dyDescent="0.3">
      <c r="A1014" s="34">
        <v>2017</v>
      </c>
      <c r="B1014" s="35">
        <v>43009</v>
      </c>
      <c r="C1014" s="34">
        <v>2000</v>
      </c>
      <c r="D1014" s="7" t="s">
        <v>112</v>
      </c>
      <c r="E1014" s="6">
        <v>245000</v>
      </c>
      <c r="F1014" s="6">
        <v>93584.49</v>
      </c>
      <c r="G1014" s="36">
        <v>93584.489999999991</v>
      </c>
      <c r="H1014" s="34">
        <v>2400</v>
      </c>
      <c r="I1014" s="7" t="s">
        <v>112</v>
      </c>
      <c r="J1014" s="6">
        <v>93584.49</v>
      </c>
      <c r="K1014" s="6">
        <v>93584.49</v>
      </c>
      <c r="L1014" s="6">
        <v>93584.49</v>
      </c>
      <c r="M1014" s="37">
        <v>404</v>
      </c>
      <c r="N1014" s="7" t="s">
        <v>277</v>
      </c>
      <c r="O1014" s="29" t="s">
        <v>245</v>
      </c>
      <c r="P1014" s="29" t="s">
        <v>245</v>
      </c>
      <c r="Q1014" s="29" t="s">
        <v>245</v>
      </c>
      <c r="R1014" s="39">
        <v>43110</v>
      </c>
      <c r="S1014" s="31" t="s">
        <v>246</v>
      </c>
      <c r="T1014" s="32">
        <v>2017</v>
      </c>
      <c r="U1014" s="40">
        <v>43100</v>
      </c>
      <c r="V1014" s="32"/>
    </row>
    <row r="1015" spans="1:22" ht="19.5" customHeight="1" x14ac:dyDescent="0.3">
      <c r="A1015" s="34">
        <v>2017</v>
      </c>
      <c r="B1015" s="35">
        <v>43009</v>
      </c>
      <c r="C1015" s="34">
        <v>2000</v>
      </c>
      <c r="D1015" s="7" t="s">
        <v>113</v>
      </c>
      <c r="E1015" s="6">
        <v>100000</v>
      </c>
      <c r="F1015" s="6">
        <f>197386.42+2418.77</f>
        <v>199805.19</v>
      </c>
      <c r="G1015" s="36">
        <v>206855.19</v>
      </c>
      <c r="H1015" s="34">
        <v>2400</v>
      </c>
      <c r="I1015" s="7" t="s">
        <v>113</v>
      </c>
      <c r="J1015" s="6">
        <v>199805.19</v>
      </c>
      <c r="K1015" s="6">
        <v>199805.19</v>
      </c>
      <c r="L1015" s="6">
        <v>199805.19</v>
      </c>
      <c r="M1015" s="28">
        <v>405</v>
      </c>
      <c r="N1015" s="7" t="s">
        <v>277</v>
      </c>
      <c r="O1015" s="29" t="s">
        <v>245</v>
      </c>
      <c r="P1015" s="29" t="s">
        <v>245</v>
      </c>
      <c r="Q1015" s="29" t="s">
        <v>245</v>
      </c>
      <c r="R1015" s="39">
        <v>43110</v>
      </c>
      <c r="S1015" s="31" t="s">
        <v>246</v>
      </c>
      <c r="T1015" s="32">
        <v>2017</v>
      </c>
      <c r="U1015" s="40">
        <v>43100</v>
      </c>
      <c r="V1015" s="32"/>
    </row>
    <row r="1016" spans="1:22" ht="19.5" customHeight="1" x14ac:dyDescent="0.3">
      <c r="A1016" s="34">
        <v>2017</v>
      </c>
      <c r="B1016" s="35">
        <v>43009</v>
      </c>
      <c r="C1016" s="34">
        <v>2000</v>
      </c>
      <c r="D1016" s="7" t="s">
        <v>114</v>
      </c>
      <c r="E1016" s="6">
        <v>1972</v>
      </c>
      <c r="F1016" s="6">
        <f>7050+47422.87+3097.39</f>
        <v>57570.26</v>
      </c>
      <c r="G1016" s="36">
        <v>50520.259999999995</v>
      </c>
      <c r="H1016" s="34">
        <v>2400</v>
      </c>
      <c r="I1016" s="7" t="s">
        <v>114</v>
      </c>
      <c r="J1016" s="6">
        <v>57570.26</v>
      </c>
      <c r="K1016" s="6">
        <v>57570.26</v>
      </c>
      <c r="L1016" s="6">
        <v>57570.26</v>
      </c>
      <c r="M1016" s="37">
        <v>406</v>
      </c>
      <c r="N1016" s="7" t="s">
        <v>277</v>
      </c>
      <c r="O1016" s="29" t="s">
        <v>245</v>
      </c>
      <c r="P1016" s="29" t="s">
        <v>245</v>
      </c>
      <c r="Q1016" s="29" t="s">
        <v>245</v>
      </c>
      <c r="R1016" s="39">
        <v>43110</v>
      </c>
      <c r="S1016" s="31" t="s">
        <v>246</v>
      </c>
      <c r="T1016" s="32">
        <v>2017</v>
      </c>
      <c r="U1016" s="40">
        <v>43100</v>
      </c>
      <c r="V1016" s="32"/>
    </row>
    <row r="1017" spans="1:22" ht="19.5" customHeight="1" x14ac:dyDescent="0.3">
      <c r="A1017" s="34">
        <v>2017</v>
      </c>
      <c r="B1017" s="35">
        <v>43009</v>
      </c>
      <c r="C1017" s="34">
        <v>2000</v>
      </c>
      <c r="D1017" s="8" t="s">
        <v>115</v>
      </c>
      <c r="E1017" s="6">
        <v>1399000</v>
      </c>
      <c r="F1017" s="6">
        <f>1050353.89+362938.37+182341.46+6584.36</f>
        <v>1602218.0799999998</v>
      </c>
      <c r="G1017" s="36">
        <v>1602218.08</v>
      </c>
      <c r="H1017" s="34">
        <v>2500</v>
      </c>
      <c r="I1017" s="8" t="s">
        <v>115</v>
      </c>
      <c r="J1017" s="6">
        <f>362938.37+6584.36+1050353.89+182341.46</f>
        <v>1602218.0799999998</v>
      </c>
      <c r="K1017" s="6">
        <f>362938.37+6584.36+1050353.89+182341.46</f>
        <v>1602218.0799999998</v>
      </c>
      <c r="L1017" s="6">
        <f>362938.37+6584.36+1050353.89+182341.46</f>
        <v>1602218.0799999998</v>
      </c>
      <c r="M1017" s="28">
        <v>407</v>
      </c>
      <c r="N1017" s="7" t="s">
        <v>277</v>
      </c>
      <c r="O1017" s="29" t="s">
        <v>245</v>
      </c>
      <c r="P1017" s="29" t="s">
        <v>245</v>
      </c>
      <c r="Q1017" s="29" t="s">
        <v>245</v>
      </c>
      <c r="R1017" s="39">
        <v>43110</v>
      </c>
      <c r="S1017" s="31" t="s">
        <v>246</v>
      </c>
      <c r="T1017" s="32">
        <v>2017</v>
      </c>
      <c r="U1017" s="40">
        <v>43100</v>
      </c>
      <c r="V1017" s="32"/>
    </row>
    <row r="1018" spans="1:22" ht="19.5" customHeight="1" x14ac:dyDescent="0.3">
      <c r="A1018" s="34">
        <v>2017</v>
      </c>
      <c r="B1018" s="35">
        <v>43009</v>
      </c>
      <c r="C1018" s="34">
        <v>2000</v>
      </c>
      <c r="D1018" s="8" t="s">
        <v>228</v>
      </c>
      <c r="E1018" s="6">
        <v>0</v>
      </c>
      <c r="F1018" s="6">
        <v>2610</v>
      </c>
      <c r="G1018" s="36">
        <v>2610</v>
      </c>
      <c r="H1018" s="34">
        <v>2500</v>
      </c>
      <c r="I1018" s="8" t="s">
        <v>228</v>
      </c>
      <c r="J1018" s="6">
        <v>2610</v>
      </c>
      <c r="K1018" s="6">
        <v>2610</v>
      </c>
      <c r="L1018" s="6">
        <v>2610</v>
      </c>
      <c r="M1018" s="37">
        <v>408</v>
      </c>
      <c r="N1018" s="7" t="s">
        <v>277</v>
      </c>
      <c r="O1018" s="29" t="s">
        <v>245</v>
      </c>
      <c r="P1018" s="29" t="s">
        <v>245</v>
      </c>
      <c r="Q1018" s="29" t="s">
        <v>245</v>
      </c>
      <c r="R1018" s="39">
        <v>43110</v>
      </c>
      <c r="S1018" s="31" t="s">
        <v>246</v>
      </c>
      <c r="T1018" s="32">
        <v>2017</v>
      </c>
      <c r="U1018" s="40">
        <v>43100</v>
      </c>
      <c r="V1018" s="32"/>
    </row>
    <row r="1019" spans="1:22" ht="19.5" customHeight="1" x14ac:dyDescent="0.3">
      <c r="A1019" s="34">
        <v>2017</v>
      </c>
      <c r="B1019" s="35">
        <v>43009</v>
      </c>
      <c r="C1019" s="34">
        <v>2000</v>
      </c>
      <c r="D1019" s="8" t="s">
        <v>116</v>
      </c>
      <c r="E1019" s="6">
        <v>0</v>
      </c>
      <c r="F1019" s="6">
        <v>57574.87</v>
      </c>
      <c r="G1019" s="36">
        <v>57574.87</v>
      </c>
      <c r="H1019" s="34">
        <v>2500</v>
      </c>
      <c r="I1019" s="8" t="s">
        <v>116</v>
      </c>
      <c r="J1019" s="6">
        <v>57574.87</v>
      </c>
      <c r="K1019" s="6">
        <v>57574.87</v>
      </c>
      <c r="L1019" s="6">
        <v>57574.87</v>
      </c>
      <c r="M1019" s="28">
        <v>409</v>
      </c>
      <c r="N1019" s="7" t="s">
        <v>277</v>
      </c>
      <c r="O1019" s="29" t="s">
        <v>245</v>
      </c>
      <c r="P1019" s="29" t="s">
        <v>245</v>
      </c>
      <c r="Q1019" s="29" t="s">
        <v>245</v>
      </c>
      <c r="R1019" s="39">
        <v>43110</v>
      </c>
      <c r="S1019" s="31" t="s">
        <v>246</v>
      </c>
      <c r="T1019" s="32">
        <v>2017</v>
      </c>
      <c r="U1019" s="40">
        <v>43100</v>
      </c>
      <c r="V1019" s="32"/>
    </row>
    <row r="1020" spans="1:22" ht="19.5" customHeight="1" x14ac:dyDescent="0.3">
      <c r="A1020" s="34">
        <v>2017</v>
      </c>
      <c r="B1020" s="35">
        <v>43009</v>
      </c>
      <c r="C1020" s="34">
        <v>2000</v>
      </c>
      <c r="D1020" s="8" t="s">
        <v>117</v>
      </c>
      <c r="E1020" s="6">
        <v>1467.4</v>
      </c>
      <c r="F1020" s="6">
        <f>47061.2+98276.8</f>
        <v>145338</v>
      </c>
      <c r="G1020" s="36">
        <v>145338</v>
      </c>
      <c r="H1020" s="34">
        <v>2500</v>
      </c>
      <c r="I1020" s="8" t="s">
        <v>117</v>
      </c>
      <c r="J1020" s="6">
        <v>145338</v>
      </c>
      <c r="K1020" s="6">
        <v>145338</v>
      </c>
      <c r="L1020" s="6">
        <v>145338</v>
      </c>
      <c r="M1020" s="37">
        <v>410</v>
      </c>
      <c r="N1020" s="7" t="s">
        <v>277</v>
      </c>
      <c r="O1020" s="29" t="s">
        <v>245</v>
      </c>
      <c r="P1020" s="29" t="s">
        <v>245</v>
      </c>
      <c r="Q1020" s="29" t="s">
        <v>245</v>
      </c>
      <c r="R1020" s="39">
        <v>43110</v>
      </c>
      <c r="S1020" s="31" t="s">
        <v>246</v>
      </c>
      <c r="T1020" s="32">
        <v>2017</v>
      </c>
      <c r="U1020" s="40">
        <v>43100</v>
      </c>
      <c r="V1020" s="32"/>
    </row>
    <row r="1021" spans="1:22" ht="19.5" customHeight="1" x14ac:dyDescent="0.3">
      <c r="A1021" s="34">
        <v>2017</v>
      </c>
      <c r="B1021" s="35">
        <v>43009</v>
      </c>
      <c r="C1021" s="34">
        <v>2000</v>
      </c>
      <c r="D1021" s="8" t="s">
        <v>118</v>
      </c>
      <c r="E1021" s="6">
        <v>2032500</v>
      </c>
      <c r="F1021" s="6">
        <f>150904.44+951535.65+426058.28+488257.23</f>
        <v>2016755.6</v>
      </c>
      <c r="G1021" s="36">
        <v>2016755.5999999996</v>
      </c>
      <c r="H1021" s="34">
        <v>2500</v>
      </c>
      <c r="I1021" s="8" t="s">
        <v>118</v>
      </c>
      <c r="J1021" s="6">
        <v>2016755.6</v>
      </c>
      <c r="K1021" s="6">
        <v>2016755.6</v>
      </c>
      <c r="L1021" s="6">
        <v>2016755.6</v>
      </c>
      <c r="M1021" s="28">
        <v>411</v>
      </c>
      <c r="N1021" s="7" t="s">
        <v>277</v>
      </c>
      <c r="O1021" s="29" t="s">
        <v>245</v>
      </c>
      <c r="P1021" s="29" t="s">
        <v>245</v>
      </c>
      <c r="Q1021" s="29" t="s">
        <v>245</v>
      </c>
      <c r="R1021" s="39">
        <v>43110</v>
      </c>
      <c r="S1021" s="31" t="s">
        <v>246</v>
      </c>
      <c r="T1021" s="32">
        <v>2017</v>
      </c>
      <c r="U1021" s="40">
        <v>43100</v>
      </c>
      <c r="V1021" s="32"/>
    </row>
    <row r="1022" spans="1:22" ht="19.5" customHeight="1" x14ac:dyDescent="0.3">
      <c r="A1022" s="34">
        <v>2017</v>
      </c>
      <c r="B1022" s="35">
        <v>43009</v>
      </c>
      <c r="C1022" s="34">
        <v>2000</v>
      </c>
      <c r="D1022" s="8" t="s">
        <v>119</v>
      </c>
      <c r="E1022" s="6">
        <v>5284</v>
      </c>
      <c r="F1022" s="6">
        <f>4640+5975.01</f>
        <v>10615.01</v>
      </c>
      <c r="G1022" s="36">
        <v>10615.009999999998</v>
      </c>
      <c r="H1022" s="34">
        <v>2500</v>
      </c>
      <c r="I1022" s="8" t="s">
        <v>119</v>
      </c>
      <c r="J1022" s="6">
        <v>10615.01</v>
      </c>
      <c r="K1022" s="6">
        <v>10615.01</v>
      </c>
      <c r="L1022" s="6">
        <v>10615.01</v>
      </c>
      <c r="M1022" s="37">
        <v>412</v>
      </c>
      <c r="N1022" s="7" t="s">
        <v>277</v>
      </c>
      <c r="O1022" s="29" t="s">
        <v>245</v>
      </c>
      <c r="P1022" s="29" t="s">
        <v>245</v>
      </c>
      <c r="Q1022" s="29" t="s">
        <v>245</v>
      </c>
      <c r="R1022" s="39">
        <v>43110</v>
      </c>
      <c r="S1022" s="31" t="s">
        <v>246</v>
      </c>
      <c r="T1022" s="32">
        <v>2017</v>
      </c>
      <c r="U1022" s="40">
        <v>43100</v>
      </c>
      <c r="V1022" s="32"/>
    </row>
    <row r="1023" spans="1:22" ht="19.5" customHeight="1" x14ac:dyDescent="0.3">
      <c r="A1023" s="34">
        <v>2017</v>
      </c>
      <c r="B1023" s="35">
        <v>43009</v>
      </c>
      <c r="C1023" s="34">
        <v>2000</v>
      </c>
      <c r="D1023" s="12" t="s">
        <v>121</v>
      </c>
      <c r="E1023" s="6">
        <v>948200</v>
      </c>
      <c r="F1023" s="6">
        <v>1468179.12</v>
      </c>
      <c r="G1023" s="36">
        <v>1468179.1199999999</v>
      </c>
      <c r="H1023" s="34">
        <v>2600</v>
      </c>
      <c r="I1023" s="12" t="s">
        <v>121</v>
      </c>
      <c r="J1023" s="6">
        <v>1468179.12</v>
      </c>
      <c r="K1023" s="6">
        <v>1468179.12</v>
      </c>
      <c r="L1023" s="6">
        <v>1468179.12</v>
      </c>
      <c r="M1023" s="28">
        <v>413</v>
      </c>
      <c r="N1023" s="7" t="s">
        <v>277</v>
      </c>
      <c r="O1023" s="29" t="s">
        <v>245</v>
      </c>
      <c r="P1023" s="29" t="s">
        <v>245</v>
      </c>
      <c r="Q1023" s="29" t="s">
        <v>245</v>
      </c>
      <c r="R1023" s="39">
        <v>43110</v>
      </c>
      <c r="S1023" s="31" t="s">
        <v>246</v>
      </c>
      <c r="T1023" s="32">
        <v>2017</v>
      </c>
      <c r="U1023" s="40">
        <v>43100</v>
      </c>
      <c r="V1023" s="32"/>
    </row>
    <row r="1024" spans="1:22" ht="19.5" customHeight="1" x14ac:dyDescent="0.3">
      <c r="A1024" s="34">
        <v>2017</v>
      </c>
      <c r="B1024" s="35">
        <v>43009</v>
      </c>
      <c r="C1024" s="34">
        <v>2000</v>
      </c>
      <c r="D1024" s="12" t="s">
        <v>122</v>
      </c>
      <c r="E1024" s="6">
        <v>1746000</v>
      </c>
      <c r="F1024" s="6">
        <f>1127953.35+2494</f>
        <v>1130447.3500000001</v>
      </c>
      <c r="G1024" s="36">
        <v>1130447.3499999999</v>
      </c>
      <c r="H1024" s="34">
        <v>2700</v>
      </c>
      <c r="I1024" s="12" t="s">
        <v>122</v>
      </c>
      <c r="J1024" s="6">
        <v>1130447.3500000001</v>
      </c>
      <c r="K1024" s="6">
        <v>1130447.3500000001</v>
      </c>
      <c r="L1024" s="6">
        <v>1130447.3500000001</v>
      </c>
      <c r="M1024" s="37">
        <v>414</v>
      </c>
      <c r="N1024" s="7" t="s">
        <v>277</v>
      </c>
      <c r="O1024" s="29" t="s">
        <v>245</v>
      </c>
      <c r="P1024" s="29" t="s">
        <v>245</v>
      </c>
      <c r="Q1024" s="29" t="s">
        <v>245</v>
      </c>
      <c r="R1024" s="39">
        <v>43110</v>
      </c>
      <c r="S1024" s="31" t="s">
        <v>246</v>
      </c>
      <c r="T1024" s="32">
        <v>2017</v>
      </c>
      <c r="U1024" s="40">
        <v>43100</v>
      </c>
      <c r="V1024" s="32"/>
    </row>
    <row r="1025" spans="1:22" ht="19.5" customHeight="1" x14ac:dyDescent="0.3">
      <c r="A1025" s="34">
        <v>2017</v>
      </c>
      <c r="B1025" s="35">
        <v>43009</v>
      </c>
      <c r="C1025" s="34">
        <v>2000</v>
      </c>
      <c r="D1025" s="12" t="s">
        <v>123</v>
      </c>
      <c r="E1025" s="6">
        <v>2463243.75</v>
      </c>
      <c r="F1025" s="6">
        <f>5878.85+2137805.76+14538.28</f>
        <v>2158222.8899999997</v>
      </c>
      <c r="G1025" s="36">
        <v>2158222.89</v>
      </c>
      <c r="H1025" s="34">
        <v>2700</v>
      </c>
      <c r="I1025" s="12" t="s">
        <v>123</v>
      </c>
      <c r="J1025" s="6">
        <v>2158222.89</v>
      </c>
      <c r="K1025" s="6">
        <v>2158222.89</v>
      </c>
      <c r="L1025" s="6">
        <v>2158222.89</v>
      </c>
      <c r="M1025" s="28">
        <v>415</v>
      </c>
      <c r="N1025" s="7" t="s">
        <v>277</v>
      </c>
      <c r="O1025" s="29" t="s">
        <v>245</v>
      </c>
      <c r="P1025" s="29" t="s">
        <v>245</v>
      </c>
      <c r="Q1025" s="29" t="s">
        <v>245</v>
      </c>
      <c r="R1025" s="39">
        <v>43110</v>
      </c>
      <c r="S1025" s="31" t="s">
        <v>246</v>
      </c>
      <c r="T1025" s="32">
        <v>2017</v>
      </c>
      <c r="U1025" s="40">
        <v>43100</v>
      </c>
      <c r="V1025" s="32"/>
    </row>
    <row r="1026" spans="1:22" ht="19.5" customHeight="1" x14ac:dyDescent="0.3">
      <c r="A1026" s="34">
        <v>2017</v>
      </c>
      <c r="B1026" s="35">
        <v>43009</v>
      </c>
      <c r="C1026" s="34">
        <v>2000</v>
      </c>
      <c r="D1026" s="12" t="s">
        <v>124</v>
      </c>
      <c r="E1026" s="6">
        <v>40800</v>
      </c>
      <c r="F1026" s="6">
        <v>33163.83</v>
      </c>
      <c r="G1026" s="36">
        <v>33163.83</v>
      </c>
      <c r="H1026" s="34">
        <v>2700</v>
      </c>
      <c r="I1026" s="12" t="s">
        <v>124</v>
      </c>
      <c r="J1026" s="6">
        <v>33163.83</v>
      </c>
      <c r="K1026" s="6">
        <v>33163.83</v>
      </c>
      <c r="L1026" s="6">
        <v>33163.83</v>
      </c>
      <c r="M1026" s="37">
        <v>416</v>
      </c>
      <c r="N1026" s="7" t="s">
        <v>277</v>
      </c>
      <c r="O1026" s="29" t="s">
        <v>245</v>
      </c>
      <c r="P1026" s="29" t="s">
        <v>245</v>
      </c>
      <c r="Q1026" s="29" t="s">
        <v>245</v>
      </c>
      <c r="R1026" s="39">
        <v>43110</v>
      </c>
      <c r="S1026" s="31" t="s">
        <v>246</v>
      </c>
      <c r="T1026" s="32">
        <v>2017</v>
      </c>
      <c r="U1026" s="40">
        <v>43100</v>
      </c>
      <c r="V1026" s="32"/>
    </row>
    <row r="1027" spans="1:22" ht="19.5" customHeight="1" x14ac:dyDescent="0.3">
      <c r="A1027" s="34">
        <v>2017</v>
      </c>
      <c r="B1027" s="35">
        <v>43009</v>
      </c>
      <c r="C1027" s="34">
        <v>2000</v>
      </c>
      <c r="D1027" s="12" t="s">
        <v>125</v>
      </c>
      <c r="E1027" s="6">
        <v>32320</v>
      </c>
      <c r="F1027" s="6">
        <v>3814.92</v>
      </c>
      <c r="G1027" s="36">
        <v>3814.9199999999996</v>
      </c>
      <c r="H1027" s="34">
        <v>2700</v>
      </c>
      <c r="I1027" s="12" t="s">
        <v>125</v>
      </c>
      <c r="J1027" s="6">
        <v>3814.92</v>
      </c>
      <c r="K1027" s="6">
        <v>3814.92</v>
      </c>
      <c r="L1027" s="6">
        <v>3814.92</v>
      </c>
      <c r="M1027" s="28">
        <v>417</v>
      </c>
      <c r="N1027" s="7" t="s">
        <v>277</v>
      </c>
      <c r="O1027" s="29" t="s">
        <v>245</v>
      </c>
      <c r="P1027" s="29" t="s">
        <v>245</v>
      </c>
      <c r="Q1027" s="29" t="s">
        <v>245</v>
      </c>
      <c r="R1027" s="39">
        <v>43110</v>
      </c>
      <c r="S1027" s="31" t="s">
        <v>246</v>
      </c>
      <c r="T1027" s="32">
        <v>2017</v>
      </c>
      <c r="U1027" s="40">
        <v>43100</v>
      </c>
      <c r="V1027" s="32"/>
    </row>
    <row r="1028" spans="1:22" ht="19.5" customHeight="1" x14ac:dyDescent="0.3">
      <c r="A1028" s="34">
        <v>2017</v>
      </c>
      <c r="B1028" s="35">
        <v>43009</v>
      </c>
      <c r="C1028" s="34">
        <v>2000</v>
      </c>
      <c r="D1028" s="7" t="s">
        <v>126</v>
      </c>
      <c r="E1028" s="6">
        <v>5000</v>
      </c>
      <c r="F1028" s="6">
        <v>10780</v>
      </c>
      <c r="G1028" s="36">
        <v>10780</v>
      </c>
      <c r="H1028" s="34">
        <v>2700</v>
      </c>
      <c r="I1028" s="7" t="s">
        <v>126</v>
      </c>
      <c r="J1028" s="6">
        <v>10780</v>
      </c>
      <c r="K1028" s="6">
        <v>10780</v>
      </c>
      <c r="L1028" s="6">
        <v>10780</v>
      </c>
      <c r="M1028" s="37">
        <v>418</v>
      </c>
      <c r="N1028" s="7" t="s">
        <v>277</v>
      </c>
      <c r="O1028" s="29" t="s">
        <v>245</v>
      </c>
      <c r="P1028" s="29" t="s">
        <v>245</v>
      </c>
      <c r="Q1028" s="29" t="s">
        <v>245</v>
      </c>
      <c r="R1028" s="39">
        <v>43110</v>
      </c>
      <c r="S1028" s="31" t="s">
        <v>246</v>
      </c>
      <c r="T1028" s="32">
        <v>2017</v>
      </c>
      <c r="U1028" s="40">
        <v>43100</v>
      </c>
      <c r="V1028" s="32"/>
    </row>
    <row r="1029" spans="1:22" ht="19.5" customHeight="1" x14ac:dyDescent="0.3">
      <c r="A1029" s="34">
        <v>2017</v>
      </c>
      <c r="B1029" s="35">
        <v>43009</v>
      </c>
      <c r="C1029" s="34">
        <v>2000</v>
      </c>
      <c r="D1029" s="12" t="s">
        <v>128</v>
      </c>
      <c r="E1029" s="6">
        <v>375338.46</v>
      </c>
      <c r="F1029" s="6">
        <f>34065.46+53696.72+162624.18+10689.98</f>
        <v>261076.34</v>
      </c>
      <c r="G1029" s="36">
        <v>261076.34</v>
      </c>
      <c r="H1029" s="34">
        <v>2900</v>
      </c>
      <c r="I1029" s="12" t="s">
        <v>128</v>
      </c>
      <c r="J1029" s="6">
        <v>261076.34</v>
      </c>
      <c r="K1029" s="6">
        <v>261076.34</v>
      </c>
      <c r="L1029" s="6">
        <v>261076.34</v>
      </c>
      <c r="M1029" s="28">
        <v>419</v>
      </c>
      <c r="N1029" s="7" t="s">
        <v>277</v>
      </c>
      <c r="O1029" s="29" t="s">
        <v>245</v>
      </c>
      <c r="P1029" s="29" t="s">
        <v>245</v>
      </c>
      <c r="Q1029" s="29" t="s">
        <v>245</v>
      </c>
      <c r="R1029" s="39">
        <v>43110</v>
      </c>
      <c r="S1029" s="31" t="s">
        <v>246</v>
      </c>
      <c r="T1029" s="32">
        <v>2017</v>
      </c>
      <c r="U1029" s="40">
        <v>43100</v>
      </c>
      <c r="V1029" s="32"/>
    </row>
    <row r="1030" spans="1:22" ht="19.5" customHeight="1" x14ac:dyDescent="0.3">
      <c r="A1030" s="34">
        <v>2017</v>
      </c>
      <c r="B1030" s="35">
        <v>43009</v>
      </c>
      <c r="C1030" s="34">
        <v>2000</v>
      </c>
      <c r="D1030" s="12" t="s">
        <v>129</v>
      </c>
      <c r="E1030" s="6">
        <v>41800</v>
      </c>
      <c r="F1030" s="6">
        <f>104.26+29744.43</f>
        <v>29848.69</v>
      </c>
      <c r="G1030" s="36">
        <v>29848.689999999995</v>
      </c>
      <c r="H1030" s="34">
        <v>2900</v>
      </c>
      <c r="I1030" s="12" t="s">
        <v>129</v>
      </c>
      <c r="J1030" s="6">
        <v>29848.69</v>
      </c>
      <c r="K1030" s="6">
        <v>29848.69</v>
      </c>
      <c r="L1030" s="6">
        <v>29848.69</v>
      </c>
      <c r="M1030" s="37">
        <v>420</v>
      </c>
      <c r="N1030" s="7" t="s">
        <v>277</v>
      </c>
      <c r="O1030" s="29" t="s">
        <v>245</v>
      </c>
      <c r="P1030" s="29" t="s">
        <v>245</v>
      </c>
      <c r="Q1030" s="29" t="s">
        <v>245</v>
      </c>
      <c r="R1030" s="39">
        <v>43110</v>
      </c>
      <c r="S1030" s="31" t="s">
        <v>246</v>
      </c>
      <c r="T1030" s="32">
        <v>2017</v>
      </c>
      <c r="U1030" s="40">
        <v>43100</v>
      </c>
      <c r="V1030" s="32"/>
    </row>
    <row r="1031" spans="1:22" ht="19.5" customHeight="1" x14ac:dyDescent="0.3">
      <c r="A1031" s="34">
        <v>2017</v>
      </c>
      <c r="B1031" s="35">
        <v>43009</v>
      </c>
      <c r="C1031" s="34">
        <v>2000</v>
      </c>
      <c r="D1031" s="12" t="s">
        <v>258</v>
      </c>
      <c r="E1031" s="6">
        <v>0</v>
      </c>
      <c r="F1031" s="6">
        <f>12371.4+68641.09+25412.12</f>
        <v>106424.60999999999</v>
      </c>
      <c r="G1031" s="36">
        <v>106424.60999999999</v>
      </c>
      <c r="H1031" s="34">
        <v>2900</v>
      </c>
      <c r="I1031" s="12" t="s">
        <v>258</v>
      </c>
      <c r="J1031" s="6">
        <v>106424.61</v>
      </c>
      <c r="K1031" s="6">
        <v>106424.61</v>
      </c>
      <c r="L1031" s="6">
        <v>106424.61</v>
      </c>
      <c r="M1031" s="28">
        <v>421</v>
      </c>
      <c r="N1031" s="7" t="s">
        <v>277</v>
      </c>
      <c r="O1031" s="29" t="s">
        <v>245</v>
      </c>
      <c r="P1031" s="29" t="s">
        <v>245</v>
      </c>
      <c r="Q1031" s="29" t="s">
        <v>245</v>
      </c>
      <c r="R1031" s="39">
        <v>43110</v>
      </c>
      <c r="S1031" s="31" t="s">
        <v>246</v>
      </c>
      <c r="T1031" s="32">
        <v>2017</v>
      </c>
      <c r="U1031" s="40">
        <v>43100</v>
      </c>
      <c r="V1031" s="32"/>
    </row>
    <row r="1032" spans="1:22" ht="19.5" customHeight="1" x14ac:dyDescent="0.3">
      <c r="A1032" s="34">
        <v>2017</v>
      </c>
      <c r="B1032" s="35">
        <v>43009</v>
      </c>
      <c r="C1032" s="34">
        <v>2000</v>
      </c>
      <c r="D1032" s="12" t="s">
        <v>131</v>
      </c>
      <c r="E1032" s="6">
        <v>1362891.5</v>
      </c>
      <c r="F1032" s="6">
        <f>550218.88+25879.6+165498.92+377471.69</f>
        <v>1119069.0900000001</v>
      </c>
      <c r="G1032" s="36">
        <v>1119069.0900000001</v>
      </c>
      <c r="H1032" s="34">
        <v>2900</v>
      </c>
      <c r="I1032" s="12" t="s">
        <v>131</v>
      </c>
      <c r="J1032" s="6">
        <v>1119069.0900000001</v>
      </c>
      <c r="K1032" s="6">
        <v>1119069.0900000001</v>
      </c>
      <c r="L1032" s="6">
        <v>1119069.0900000001</v>
      </c>
      <c r="M1032" s="37">
        <v>422</v>
      </c>
      <c r="N1032" s="7" t="s">
        <v>277</v>
      </c>
      <c r="O1032" s="29" t="s">
        <v>245</v>
      </c>
      <c r="P1032" s="29" t="s">
        <v>245</v>
      </c>
      <c r="Q1032" s="29" t="s">
        <v>245</v>
      </c>
      <c r="R1032" s="39">
        <v>43110</v>
      </c>
      <c r="S1032" s="31" t="s">
        <v>246</v>
      </c>
      <c r="T1032" s="32">
        <v>2017</v>
      </c>
      <c r="U1032" s="40">
        <v>43100</v>
      </c>
      <c r="V1032" s="32"/>
    </row>
    <row r="1033" spans="1:22" ht="19.5" customHeight="1" x14ac:dyDescent="0.3">
      <c r="A1033" s="34">
        <v>2017</v>
      </c>
      <c r="B1033" s="35">
        <v>43009</v>
      </c>
      <c r="C1033" s="34">
        <v>2000</v>
      </c>
      <c r="D1033" s="12" t="s">
        <v>217</v>
      </c>
      <c r="E1033" s="6">
        <v>0</v>
      </c>
      <c r="F1033" s="6">
        <v>32759.98</v>
      </c>
      <c r="G1033" s="36">
        <v>32759.98</v>
      </c>
      <c r="H1033" s="34">
        <v>2900</v>
      </c>
      <c r="I1033" s="12" t="s">
        <v>217</v>
      </c>
      <c r="J1033" s="6">
        <v>32759.98</v>
      </c>
      <c r="K1033" s="6">
        <v>32759.98</v>
      </c>
      <c r="L1033" s="6">
        <v>32759.98</v>
      </c>
      <c r="M1033" s="28">
        <v>423</v>
      </c>
      <c r="N1033" s="7" t="s">
        <v>277</v>
      </c>
      <c r="O1033" s="29" t="s">
        <v>245</v>
      </c>
      <c r="P1033" s="29" t="s">
        <v>245</v>
      </c>
      <c r="Q1033" s="29" t="s">
        <v>245</v>
      </c>
      <c r="R1033" s="39">
        <v>43110</v>
      </c>
      <c r="S1033" s="31" t="s">
        <v>246</v>
      </c>
      <c r="T1033" s="32">
        <v>2017</v>
      </c>
      <c r="U1033" s="40">
        <v>43100</v>
      </c>
      <c r="V1033" s="32"/>
    </row>
    <row r="1034" spans="1:22" ht="19.5" customHeight="1" x14ac:dyDescent="0.3">
      <c r="A1034" s="34">
        <v>2017</v>
      </c>
      <c r="B1034" s="35">
        <v>43009</v>
      </c>
      <c r="C1034" s="34">
        <v>2000</v>
      </c>
      <c r="D1034" s="7" t="s">
        <v>132</v>
      </c>
      <c r="E1034" s="6">
        <v>0</v>
      </c>
      <c r="F1034" s="6">
        <v>3958.82</v>
      </c>
      <c r="G1034" s="36">
        <v>3958.82</v>
      </c>
      <c r="H1034" s="34">
        <v>2900</v>
      </c>
      <c r="I1034" s="7" t="s">
        <v>132</v>
      </c>
      <c r="J1034" s="6">
        <v>3958.82</v>
      </c>
      <c r="K1034" s="6">
        <v>3958.82</v>
      </c>
      <c r="L1034" s="6">
        <v>3958.82</v>
      </c>
      <c r="M1034" s="37">
        <v>424</v>
      </c>
      <c r="N1034" s="7" t="s">
        <v>277</v>
      </c>
      <c r="O1034" s="29" t="s">
        <v>245</v>
      </c>
      <c r="P1034" s="29" t="s">
        <v>245</v>
      </c>
      <c r="Q1034" s="29" t="s">
        <v>245</v>
      </c>
      <c r="R1034" s="39">
        <v>43110</v>
      </c>
      <c r="S1034" s="31" t="s">
        <v>246</v>
      </c>
      <c r="T1034" s="32">
        <v>2017</v>
      </c>
      <c r="U1034" s="40">
        <v>43100</v>
      </c>
      <c r="V1034" s="32"/>
    </row>
    <row r="1035" spans="1:22" ht="19.5" customHeight="1" x14ac:dyDescent="0.3">
      <c r="A1035" s="34">
        <v>2017</v>
      </c>
      <c r="B1035" s="35">
        <v>43009</v>
      </c>
      <c r="C1035" s="34">
        <v>2000</v>
      </c>
      <c r="D1035" s="7" t="s">
        <v>133</v>
      </c>
      <c r="E1035" s="6">
        <v>15000</v>
      </c>
      <c r="F1035" s="6">
        <f>27588.47+12475.8</f>
        <v>40064.270000000004</v>
      </c>
      <c r="G1035" s="36">
        <v>40064.270000000004</v>
      </c>
      <c r="H1035" s="34">
        <v>2900</v>
      </c>
      <c r="I1035" s="7" t="s">
        <v>133</v>
      </c>
      <c r="J1035" s="6">
        <v>40064.269999999997</v>
      </c>
      <c r="K1035" s="6">
        <v>40064.269999999997</v>
      </c>
      <c r="L1035" s="6">
        <v>40064.269999999997</v>
      </c>
      <c r="M1035" s="28">
        <v>425</v>
      </c>
      <c r="N1035" s="7" t="s">
        <v>277</v>
      </c>
      <c r="O1035" s="29" t="s">
        <v>245</v>
      </c>
      <c r="P1035" s="29" t="s">
        <v>245</v>
      </c>
      <c r="Q1035" s="29" t="s">
        <v>245</v>
      </c>
      <c r="R1035" s="39">
        <v>43110</v>
      </c>
      <c r="S1035" s="31" t="s">
        <v>246</v>
      </c>
      <c r="T1035" s="32">
        <v>2017</v>
      </c>
      <c r="U1035" s="40">
        <v>43100</v>
      </c>
      <c r="V1035" s="32"/>
    </row>
    <row r="1036" spans="1:22" ht="19.5" customHeight="1" x14ac:dyDescent="0.3">
      <c r="A1036" s="34">
        <v>2017</v>
      </c>
      <c r="B1036" s="35">
        <v>43009</v>
      </c>
      <c r="C1036" s="34">
        <v>3000</v>
      </c>
      <c r="D1036" s="12" t="s">
        <v>135</v>
      </c>
      <c r="E1036" s="6">
        <v>9187500</v>
      </c>
      <c r="F1036" s="6">
        <v>7259342.3899999997</v>
      </c>
      <c r="G1036" s="36">
        <v>7259342.3899999997</v>
      </c>
      <c r="H1036" s="34">
        <v>3100</v>
      </c>
      <c r="I1036" s="12" t="s">
        <v>135</v>
      </c>
      <c r="J1036" s="6">
        <v>7259342.3899999997</v>
      </c>
      <c r="K1036" s="6">
        <v>7259342.3899999997</v>
      </c>
      <c r="L1036" s="6">
        <v>7259342.3899999997</v>
      </c>
      <c r="M1036" s="37">
        <v>426</v>
      </c>
      <c r="N1036" s="7" t="s">
        <v>279</v>
      </c>
      <c r="O1036" s="29" t="s">
        <v>245</v>
      </c>
      <c r="P1036" s="29" t="s">
        <v>245</v>
      </c>
      <c r="Q1036" s="29" t="s">
        <v>245</v>
      </c>
      <c r="R1036" s="39">
        <v>43110</v>
      </c>
      <c r="S1036" s="31" t="s">
        <v>246</v>
      </c>
      <c r="T1036" s="32">
        <v>2017</v>
      </c>
      <c r="U1036" s="40">
        <v>43100</v>
      </c>
      <c r="V1036" s="32"/>
    </row>
    <row r="1037" spans="1:22" ht="19.5" customHeight="1" x14ac:dyDescent="0.3">
      <c r="A1037" s="34">
        <v>2017</v>
      </c>
      <c r="B1037" s="35">
        <v>43009</v>
      </c>
      <c r="C1037" s="34">
        <v>3000</v>
      </c>
      <c r="D1037" s="12" t="s">
        <v>136</v>
      </c>
      <c r="E1037" s="6">
        <v>3150000</v>
      </c>
      <c r="F1037" s="6">
        <v>3250013.02</v>
      </c>
      <c r="G1037" s="36">
        <v>3250013.02</v>
      </c>
      <c r="H1037" s="34">
        <v>3100</v>
      </c>
      <c r="I1037" s="12" t="s">
        <v>136</v>
      </c>
      <c r="J1037" s="6">
        <v>3250013.02</v>
      </c>
      <c r="K1037" s="6">
        <v>3250013.02</v>
      </c>
      <c r="L1037" s="6">
        <v>3250013.02</v>
      </c>
      <c r="M1037" s="28">
        <v>427</v>
      </c>
      <c r="N1037" s="7" t="s">
        <v>279</v>
      </c>
      <c r="O1037" s="29" t="s">
        <v>245</v>
      </c>
      <c r="P1037" s="29" t="s">
        <v>245</v>
      </c>
      <c r="Q1037" s="29" t="s">
        <v>245</v>
      </c>
      <c r="R1037" s="39">
        <v>43110</v>
      </c>
      <c r="S1037" s="31" t="s">
        <v>246</v>
      </c>
      <c r="T1037" s="32">
        <v>2017</v>
      </c>
      <c r="U1037" s="40">
        <v>43100</v>
      </c>
      <c r="V1037" s="32"/>
    </row>
    <row r="1038" spans="1:22" ht="19.5" customHeight="1" x14ac:dyDescent="0.3">
      <c r="A1038" s="34">
        <v>2017</v>
      </c>
      <c r="B1038" s="35">
        <v>43009</v>
      </c>
      <c r="C1038" s="34">
        <v>3000</v>
      </c>
      <c r="D1038" s="12" t="s">
        <v>137</v>
      </c>
      <c r="E1038" s="6">
        <v>1113000</v>
      </c>
      <c r="F1038" s="6">
        <v>823726.49</v>
      </c>
      <c r="G1038" s="36">
        <v>823726.49</v>
      </c>
      <c r="H1038" s="34">
        <v>3100</v>
      </c>
      <c r="I1038" s="12" t="s">
        <v>137</v>
      </c>
      <c r="J1038" s="6">
        <v>823726.49</v>
      </c>
      <c r="K1038" s="6">
        <v>823726.49</v>
      </c>
      <c r="L1038" s="6">
        <v>823726.49</v>
      </c>
      <c r="M1038" s="37">
        <v>428</v>
      </c>
      <c r="N1038" s="7" t="s">
        <v>279</v>
      </c>
      <c r="O1038" s="29" t="s">
        <v>245</v>
      </c>
      <c r="P1038" s="29" t="s">
        <v>245</v>
      </c>
      <c r="Q1038" s="29" t="s">
        <v>245</v>
      </c>
      <c r="R1038" s="39">
        <v>43110</v>
      </c>
      <c r="S1038" s="31" t="s">
        <v>246</v>
      </c>
      <c r="T1038" s="32">
        <v>2017</v>
      </c>
      <c r="U1038" s="40">
        <v>43100</v>
      </c>
      <c r="V1038" s="32"/>
    </row>
    <row r="1039" spans="1:22" ht="19.5" customHeight="1" x14ac:dyDescent="0.3">
      <c r="A1039" s="34">
        <v>2017</v>
      </c>
      <c r="B1039" s="35">
        <v>43009</v>
      </c>
      <c r="C1039" s="34">
        <v>3000</v>
      </c>
      <c r="D1039" s="12" t="s">
        <v>270</v>
      </c>
      <c r="E1039" s="6">
        <v>0</v>
      </c>
      <c r="F1039" s="6">
        <v>600</v>
      </c>
      <c r="G1039" s="36">
        <v>600</v>
      </c>
      <c r="H1039" s="34">
        <v>3100</v>
      </c>
      <c r="I1039" s="12" t="s">
        <v>270</v>
      </c>
      <c r="J1039" s="6">
        <v>600</v>
      </c>
      <c r="K1039" s="6">
        <v>600</v>
      </c>
      <c r="L1039" s="6">
        <v>600</v>
      </c>
      <c r="M1039" s="28">
        <v>429</v>
      </c>
      <c r="N1039" s="7" t="s">
        <v>279</v>
      </c>
      <c r="O1039" s="29" t="s">
        <v>245</v>
      </c>
      <c r="P1039" s="29" t="s">
        <v>245</v>
      </c>
      <c r="Q1039" s="29" t="s">
        <v>245</v>
      </c>
      <c r="R1039" s="39">
        <v>43110</v>
      </c>
      <c r="S1039" s="31" t="s">
        <v>246</v>
      </c>
      <c r="T1039" s="32">
        <v>2017</v>
      </c>
      <c r="U1039" s="40">
        <v>43100</v>
      </c>
      <c r="V1039" s="32"/>
    </row>
    <row r="1040" spans="1:22" ht="19.5" customHeight="1" x14ac:dyDescent="0.3">
      <c r="A1040" s="34">
        <v>2017</v>
      </c>
      <c r="B1040" s="35">
        <v>43009</v>
      </c>
      <c r="C1040" s="34">
        <v>3000</v>
      </c>
      <c r="D1040" s="12" t="s">
        <v>138</v>
      </c>
      <c r="E1040" s="6">
        <v>250000</v>
      </c>
      <c r="F1040" s="6">
        <v>80645.66</v>
      </c>
      <c r="G1040" s="36">
        <v>80645.66</v>
      </c>
      <c r="H1040" s="34">
        <v>3100</v>
      </c>
      <c r="I1040" s="12" t="s">
        <v>138</v>
      </c>
      <c r="J1040" s="6">
        <v>80645.66</v>
      </c>
      <c r="K1040" s="6">
        <v>80645.66</v>
      </c>
      <c r="L1040" s="6">
        <v>80645.66</v>
      </c>
      <c r="M1040" s="37">
        <v>430</v>
      </c>
      <c r="N1040" s="7" t="s">
        <v>279</v>
      </c>
      <c r="O1040" s="29" t="s">
        <v>245</v>
      </c>
      <c r="P1040" s="29" t="s">
        <v>245</v>
      </c>
      <c r="Q1040" s="29" t="s">
        <v>245</v>
      </c>
      <c r="R1040" s="39">
        <v>43110</v>
      </c>
      <c r="S1040" s="31" t="s">
        <v>246</v>
      </c>
      <c r="T1040" s="32">
        <v>2017</v>
      </c>
      <c r="U1040" s="40">
        <v>43100</v>
      </c>
      <c r="V1040" s="32"/>
    </row>
    <row r="1041" spans="1:22" ht="19.5" customHeight="1" x14ac:dyDescent="0.3">
      <c r="A1041" s="34">
        <v>2017</v>
      </c>
      <c r="B1041" s="35">
        <v>43009</v>
      </c>
      <c r="C1041" s="34">
        <v>3000</v>
      </c>
      <c r="D1041" s="12" t="s">
        <v>139</v>
      </c>
      <c r="E1041" s="6">
        <v>6887777</v>
      </c>
      <c r="F1041" s="6">
        <v>5539279.1500000004</v>
      </c>
      <c r="G1041" s="36">
        <v>5539279.1499999994</v>
      </c>
      <c r="H1041" s="34">
        <v>3100</v>
      </c>
      <c r="I1041" s="12" t="s">
        <v>139</v>
      </c>
      <c r="J1041" s="6">
        <v>5539279.1500000004</v>
      </c>
      <c r="K1041" s="6">
        <v>5539279.1500000004</v>
      </c>
      <c r="L1041" s="6">
        <v>5539279.1500000004</v>
      </c>
      <c r="M1041" s="28">
        <v>431</v>
      </c>
      <c r="N1041" s="7" t="s">
        <v>279</v>
      </c>
      <c r="O1041" s="29" t="s">
        <v>245</v>
      </c>
      <c r="P1041" s="29" t="s">
        <v>245</v>
      </c>
      <c r="Q1041" s="29" t="s">
        <v>245</v>
      </c>
      <c r="R1041" s="39">
        <v>43110</v>
      </c>
      <c r="S1041" s="31" t="s">
        <v>246</v>
      </c>
      <c r="T1041" s="32">
        <v>2017</v>
      </c>
      <c r="U1041" s="40">
        <v>43100</v>
      </c>
      <c r="V1041" s="32"/>
    </row>
    <row r="1042" spans="1:22" ht="19.5" customHeight="1" x14ac:dyDescent="0.3">
      <c r="A1042" s="34">
        <v>2017</v>
      </c>
      <c r="B1042" s="35">
        <v>43009</v>
      </c>
      <c r="C1042" s="34">
        <v>3000</v>
      </c>
      <c r="D1042" s="12" t="s">
        <v>140</v>
      </c>
      <c r="E1042" s="6">
        <v>56560</v>
      </c>
      <c r="F1042" s="6">
        <v>31436.240000000002</v>
      </c>
      <c r="G1042" s="36">
        <v>31436.239999999998</v>
      </c>
      <c r="H1042" s="34">
        <v>3100</v>
      </c>
      <c r="I1042" s="12" t="s">
        <v>140</v>
      </c>
      <c r="J1042" s="6">
        <v>31436.240000000002</v>
      </c>
      <c r="K1042" s="6">
        <v>31436.240000000002</v>
      </c>
      <c r="L1042" s="6">
        <v>31436.240000000002</v>
      </c>
      <c r="M1042" s="37">
        <v>432</v>
      </c>
      <c r="N1042" s="7" t="s">
        <v>279</v>
      </c>
      <c r="O1042" s="29" t="s">
        <v>245</v>
      </c>
      <c r="P1042" s="29" t="s">
        <v>245</v>
      </c>
      <c r="Q1042" s="29" t="s">
        <v>245</v>
      </c>
      <c r="R1042" s="39">
        <v>43110</v>
      </c>
      <c r="S1042" s="31" t="s">
        <v>246</v>
      </c>
      <c r="T1042" s="32">
        <v>2017</v>
      </c>
      <c r="U1042" s="40">
        <v>43100</v>
      </c>
      <c r="V1042" s="32"/>
    </row>
    <row r="1043" spans="1:22" ht="19.5" customHeight="1" x14ac:dyDescent="0.3">
      <c r="A1043" s="34">
        <v>2017</v>
      </c>
      <c r="B1043" s="35">
        <v>43009</v>
      </c>
      <c r="C1043" s="34">
        <v>3000</v>
      </c>
      <c r="D1043" s="7" t="s">
        <v>141</v>
      </c>
      <c r="E1043" s="6">
        <v>1600800</v>
      </c>
      <c r="F1043" s="6">
        <v>1445260.97</v>
      </c>
      <c r="G1043" s="36">
        <v>1445260.9700000002</v>
      </c>
      <c r="H1043" s="34">
        <v>3100</v>
      </c>
      <c r="I1043" s="7" t="s">
        <v>141</v>
      </c>
      <c r="J1043" s="6">
        <v>1445260.97</v>
      </c>
      <c r="K1043" s="6">
        <v>1445260.97</v>
      </c>
      <c r="L1043" s="6">
        <v>1445260.97</v>
      </c>
      <c r="M1043" s="28">
        <v>433</v>
      </c>
      <c r="N1043" s="7" t="s">
        <v>279</v>
      </c>
      <c r="O1043" s="29" t="s">
        <v>245</v>
      </c>
      <c r="P1043" s="29" t="s">
        <v>245</v>
      </c>
      <c r="Q1043" s="29" t="s">
        <v>245</v>
      </c>
      <c r="R1043" s="39">
        <v>43110</v>
      </c>
      <c r="S1043" s="31" t="s">
        <v>246</v>
      </c>
      <c r="T1043" s="32">
        <v>2017</v>
      </c>
      <c r="U1043" s="40">
        <v>43100</v>
      </c>
      <c r="V1043" s="32"/>
    </row>
    <row r="1044" spans="1:22" ht="19.5" customHeight="1" x14ac:dyDescent="0.3">
      <c r="A1044" s="34">
        <v>2017</v>
      </c>
      <c r="B1044" s="35">
        <v>43009</v>
      </c>
      <c r="C1044" s="34">
        <v>3000</v>
      </c>
      <c r="D1044" s="12" t="s">
        <v>142</v>
      </c>
      <c r="E1044" s="6">
        <v>11067495.720000001</v>
      </c>
      <c r="F1044" s="6">
        <v>8561402.5199999996</v>
      </c>
      <c r="G1044" s="36">
        <v>8561402.5199999996</v>
      </c>
      <c r="H1044" s="34">
        <v>3200</v>
      </c>
      <c r="I1044" s="12" t="s">
        <v>142</v>
      </c>
      <c r="J1044" s="6">
        <v>8561402.5199999996</v>
      </c>
      <c r="K1044" s="6">
        <v>8561402.5199999996</v>
      </c>
      <c r="L1044" s="6">
        <v>8561402.5199999996</v>
      </c>
      <c r="M1044" s="37">
        <v>434</v>
      </c>
      <c r="N1044" s="7" t="s">
        <v>279</v>
      </c>
      <c r="O1044" s="29" t="s">
        <v>245</v>
      </c>
      <c r="P1044" s="29" t="s">
        <v>245</v>
      </c>
      <c r="Q1044" s="29" t="s">
        <v>245</v>
      </c>
      <c r="R1044" s="39">
        <v>43110</v>
      </c>
      <c r="S1044" s="31" t="s">
        <v>246</v>
      </c>
      <c r="T1044" s="32">
        <v>2017</v>
      </c>
      <c r="U1044" s="40">
        <v>43100</v>
      </c>
      <c r="V1044" s="32"/>
    </row>
    <row r="1045" spans="1:22" ht="19.5" customHeight="1" x14ac:dyDescent="0.3">
      <c r="A1045" s="34">
        <v>2017</v>
      </c>
      <c r="B1045" s="35">
        <v>43009</v>
      </c>
      <c r="C1045" s="34">
        <v>3000</v>
      </c>
      <c r="D1045" s="12" t="s">
        <v>143</v>
      </c>
      <c r="E1045" s="6">
        <v>113000</v>
      </c>
      <c r="F1045" s="6">
        <v>87116</v>
      </c>
      <c r="G1045" s="36">
        <v>87116</v>
      </c>
      <c r="H1045" s="34">
        <v>3200</v>
      </c>
      <c r="I1045" s="12" t="s">
        <v>143</v>
      </c>
      <c r="J1045" s="6">
        <v>87116</v>
      </c>
      <c r="K1045" s="6">
        <v>87116</v>
      </c>
      <c r="L1045" s="6">
        <v>87116</v>
      </c>
      <c r="M1045" s="28">
        <v>435</v>
      </c>
      <c r="N1045" s="7" t="s">
        <v>279</v>
      </c>
      <c r="O1045" s="29" t="s">
        <v>245</v>
      </c>
      <c r="P1045" s="29" t="s">
        <v>245</v>
      </c>
      <c r="Q1045" s="29" t="s">
        <v>245</v>
      </c>
      <c r="R1045" s="39">
        <v>43110</v>
      </c>
      <c r="S1045" s="31" t="s">
        <v>246</v>
      </c>
      <c r="T1045" s="32">
        <v>2017</v>
      </c>
      <c r="U1045" s="40">
        <v>43100</v>
      </c>
      <c r="V1045" s="32"/>
    </row>
    <row r="1046" spans="1:22" ht="19.5" customHeight="1" x14ac:dyDescent="0.3">
      <c r="A1046" s="34">
        <v>2017</v>
      </c>
      <c r="B1046" s="35">
        <v>43009</v>
      </c>
      <c r="C1046" s="34">
        <v>3000</v>
      </c>
      <c r="D1046" s="12" t="s">
        <v>144</v>
      </c>
      <c r="E1046" s="6">
        <v>0</v>
      </c>
      <c r="F1046" s="6">
        <v>260415.35999999999</v>
      </c>
      <c r="G1046" s="36">
        <v>260415.35999999999</v>
      </c>
      <c r="H1046" s="34">
        <v>3200</v>
      </c>
      <c r="I1046" s="12" t="s">
        <v>144</v>
      </c>
      <c r="J1046" s="6">
        <v>260415.35999999999</v>
      </c>
      <c r="K1046" s="6">
        <v>260415.35999999999</v>
      </c>
      <c r="L1046" s="6">
        <v>260415.35999999999</v>
      </c>
      <c r="M1046" s="37">
        <v>436</v>
      </c>
      <c r="N1046" s="7" t="s">
        <v>279</v>
      </c>
      <c r="O1046" s="29" t="s">
        <v>245</v>
      </c>
      <c r="P1046" s="29" t="s">
        <v>245</v>
      </c>
      <c r="Q1046" s="29" t="s">
        <v>245</v>
      </c>
      <c r="R1046" s="39">
        <v>43110</v>
      </c>
      <c r="S1046" s="31" t="s">
        <v>246</v>
      </c>
      <c r="T1046" s="32">
        <v>2017</v>
      </c>
      <c r="U1046" s="40">
        <v>43100</v>
      </c>
      <c r="V1046" s="32"/>
    </row>
    <row r="1047" spans="1:22" ht="19.5" customHeight="1" x14ac:dyDescent="0.3">
      <c r="A1047" s="34">
        <v>2017</v>
      </c>
      <c r="B1047" s="35">
        <v>43009</v>
      </c>
      <c r="C1047" s="34">
        <v>3000</v>
      </c>
      <c r="D1047" s="12" t="s">
        <v>280</v>
      </c>
      <c r="E1047" s="6">
        <v>0</v>
      </c>
      <c r="F1047" s="6">
        <v>4002</v>
      </c>
      <c r="G1047" s="36">
        <v>4002</v>
      </c>
      <c r="H1047" s="34">
        <v>3200</v>
      </c>
      <c r="I1047" s="12" t="s">
        <v>280</v>
      </c>
      <c r="J1047" s="6">
        <v>4002</v>
      </c>
      <c r="K1047" s="6">
        <v>4002</v>
      </c>
      <c r="L1047" s="6">
        <v>4002</v>
      </c>
      <c r="M1047" s="28">
        <v>437</v>
      </c>
      <c r="N1047" s="7" t="s">
        <v>279</v>
      </c>
      <c r="O1047" s="29" t="s">
        <v>245</v>
      </c>
      <c r="P1047" s="29" t="s">
        <v>245</v>
      </c>
      <c r="Q1047" s="29" t="s">
        <v>245</v>
      </c>
      <c r="R1047" s="39">
        <v>43110</v>
      </c>
      <c r="S1047" s="31" t="s">
        <v>246</v>
      </c>
      <c r="T1047" s="32">
        <v>2017</v>
      </c>
      <c r="U1047" s="40">
        <v>43100</v>
      </c>
      <c r="V1047" s="32"/>
    </row>
    <row r="1048" spans="1:22" ht="19.5" customHeight="1" x14ac:dyDescent="0.3">
      <c r="A1048" s="34">
        <v>2017</v>
      </c>
      <c r="B1048" s="35">
        <v>43009</v>
      </c>
      <c r="C1048" s="34">
        <v>3000</v>
      </c>
      <c r="D1048" s="12" t="s">
        <v>281</v>
      </c>
      <c r="E1048" s="6">
        <v>0</v>
      </c>
      <c r="F1048" s="6">
        <v>34</v>
      </c>
      <c r="G1048" s="36">
        <v>34</v>
      </c>
      <c r="H1048" s="34">
        <v>3200</v>
      </c>
      <c r="I1048" s="12" t="s">
        <v>281</v>
      </c>
      <c r="J1048" s="6">
        <v>34</v>
      </c>
      <c r="K1048" s="6">
        <v>34</v>
      </c>
      <c r="L1048" s="6">
        <v>34</v>
      </c>
      <c r="M1048" s="37">
        <v>438</v>
      </c>
      <c r="N1048" s="7" t="s">
        <v>279</v>
      </c>
      <c r="O1048" s="29" t="s">
        <v>245</v>
      </c>
      <c r="P1048" s="29" t="s">
        <v>245</v>
      </c>
      <c r="Q1048" s="29" t="s">
        <v>245</v>
      </c>
      <c r="R1048" s="39">
        <v>43110</v>
      </c>
      <c r="S1048" s="31" t="s">
        <v>246</v>
      </c>
      <c r="T1048" s="32">
        <v>2017</v>
      </c>
      <c r="U1048" s="40">
        <v>43100</v>
      </c>
      <c r="V1048" s="32"/>
    </row>
    <row r="1049" spans="1:22" ht="19.5" customHeight="1" x14ac:dyDescent="0.3">
      <c r="A1049" s="34">
        <v>2017</v>
      </c>
      <c r="B1049" s="35">
        <v>43009</v>
      </c>
      <c r="C1049" s="34">
        <v>3000</v>
      </c>
      <c r="D1049" s="12" t="s">
        <v>145</v>
      </c>
      <c r="E1049" s="6">
        <v>142645</v>
      </c>
      <c r="F1049" s="6">
        <v>97698.55</v>
      </c>
      <c r="G1049" s="36">
        <v>97698.55</v>
      </c>
      <c r="H1049" s="34">
        <v>3200</v>
      </c>
      <c r="I1049" s="12" t="s">
        <v>145</v>
      </c>
      <c r="J1049" s="6">
        <v>97698.55</v>
      </c>
      <c r="K1049" s="6">
        <v>97698.55</v>
      </c>
      <c r="L1049" s="6">
        <v>97698.55</v>
      </c>
      <c r="M1049" s="28">
        <v>439</v>
      </c>
      <c r="N1049" s="7" t="s">
        <v>279</v>
      </c>
      <c r="O1049" s="29" t="s">
        <v>245</v>
      </c>
      <c r="P1049" s="29" t="s">
        <v>245</v>
      </c>
      <c r="Q1049" s="29" t="s">
        <v>245</v>
      </c>
      <c r="R1049" s="39">
        <v>43110</v>
      </c>
      <c r="S1049" s="31" t="s">
        <v>246</v>
      </c>
      <c r="T1049" s="32">
        <v>2017</v>
      </c>
      <c r="U1049" s="40">
        <v>43100</v>
      </c>
      <c r="V1049" s="32"/>
    </row>
    <row r="1050" spans="1:22" ht="19.5" customHeight="1" x14ac:dyDescent="0.3">
      <c r="A1050" s="34">
        <v>2017</v>
      </c>
      <c r="B1050" s="35">
        <v>43009</v>
      </c>
      <c r="C1050" s="34">
        <v>3000</v>
      </c>
      <c r="D1050" s="12" t="s">
        <v>146</v>
      </c>
      <c r="E1050" s="6">
        <v>45000</v>
      </c>
      <c r="F1050" s="6">
        <v>26564</v>
      </c>
      <c r="G1050" s="36">
        <v>26564</v>
      </c>
      <c r="H1050" s="34">
        <v>3200</v>
      </c>
      <c r="I1050" s="12" t="s">
        <v>146</v>
      </c>
      <c r="J1050" s="6">
        <v>26564</v>
      </c>
      <c r="K1050" s="6">
        <v>26564</v>
      </c>
      <c r="L1050" s="6">
        <v>26564</v>
      </c>
      <c r="M1050" s="37">
        <v>440</v>
      </c>
      <c r="N1050" s="7" t="s">
        <v>279</v>
      </c>
      <c r="O1050" s="29" t="s">
        <v>245</v>
      </c>
      <c r="P1050" s="29" t="s">
        <v>245</v>
      </c>
      <c r="Q1050" s="29" t="s">
        <v>245</v>
      </c>
      <c r="R1050" s="39">
        <v>43110</v>
      </c>
      <c r="S1050" s="31" t="s">
        <v>246</v>
      </c>
      <c r="T1050" s="32">
        <v>2017</v>
      </c>
      <c r="U1050" s="40">
        <v>43100</v>
      </c>
      <c r="V1050" s="32"/>
    </row>
    <row r="1051" spans="1:22" ht="19.5" customHeight="1" x14ac:dyDescent="0.3">
      <c r="A1051" s="34">
        <v>2017</v>
      </c>
      <c r="B1051" s="35">
        <v>43009</v>
      </c>
      <c r="C1051" s="34">
        <v>3000</v>
      </c>
      <c r="D1051" s="12" t="s">
        <v>147</v>
      </c>
      <c r="E1051" s="6">
        <v>1645000</v>
      </c>
      <c r="F1051" s="6">
        <v>2618614.96</v>
      </c>
      <c r="G1051" s="36">
        <v>2618614.9599999995</v>
      </c>
      <c r="H1051" s="34">
        <v>3300</v>
      </c>
      <c r="I1051" s="12" t="s">
        <v>147</v>
      </c>
      <c r="J1051" s="6">
        <v>2618614.96</v>
      </c>
      <c r="K1051" s="6">
        <v>2618614.96</v>
      </c>
      <c r="L1051" s="6">
        <v>2618614.96</v>
      </c>
      <c r="M1051" s="28">
        <v>441</v>
      </c>
      <c r="N1051" s="7" t="s">
        <v>279</v>
      </c>
      <c r="O1051" s="29" t="s">
        <v>245</v>
      </c>
      <c r="P1051" s="29" t="s">
        <v>245</v>
      </c>
      <c r="Q1051" s="29" t="s">
        <v>245</v>
      </c>
      <c r="R1051" s="39">
        <v>43110</v>
      </c>
      <c r="S1051" s="31" t="s">
        <v>246</v>
      </c>
      <c r="T1051" s="32">
        <v>2017</v>
      </c>
      <c r="U1051" s="40">
        <v>43100</v>
      </c>
      <c r="V1051" s="32"/>
    </row>
    <row r="1052" spans="1:22" ht="19.5" customHeight="1" x14ac:dyDescent="0.3">
      <c r="A1052" s="34">
        <v>2017</v>
      </c>
      <c r="B1052" s="35">
        <v>43009</v>
      </c>
      <c r="C1052" s="34">
        <v>3000</v>
      </c>
      <c r="D1052" s="12" t="s">
        <v>148</v>
      </c>
      <c r="E1052" s="6">
        <v>1483653</v>
      </c>
      <c r="F1052" s="6">
        <v>48959.13</v>
      </c>
      <c r="G1052" s="36">
        <v>48959.13</v>
      </c>
      <c r="H1052" s="34">
        <v>3300</v>
      </c>
      <c r="I1052" s="12" t="s">
        <v>148</v>
      </c>
      <c r="J1052" s="6">
        <v>48959.13</v>
      </c>
      <c r="K1052" s="6">
        <v>48959.13</v>
      </c>
      <c r="L1052" s="6">
        <v>48959.13</v>
      </c>
      <c r="M1052" s="37">
        <v>442</v>
      </c>
      <c r="N1052" s="7" t="s">
        <v>279</v>
      </c>
      <c r="O1052" s="29" t="s">
        <v>245</v>
      </c>
      <c r="P1052" s="29" t="s">
        <v>245</v>
      </c>
      <c r="Q1052" s="29" t="s">
        <v>245</v>
      </c>
      <c r="R1052" s="39">
        <v>43110</v>
      </c>
      <c r="S1052" s="31" t="s">
        <v>246</v>
      </c>
      <c r="T1052" s="32">
        <v>2017</v>
      </c>
      <c r="U1052" s="40">
        <v>43100</v>
      </c>
      <c r="V1052" s="32"/>
    </row>
    <row r="1053" spans="1:22" ht="19.5" customHeight="1" x14ac:dyDescent="0.3">
      <c r="A1053" s="34">
        <v>2017</v>
      </c>
      <c r="B1053" s="35">
        <v>43009</v>
      </c>
      <c r="C1053" s="34">
        <v>3000</v>
      </c>
      <c r="D1053" s="12" t="s">
        <v>149</v>
      </c>
      <c r="E1053" s="6">
        <v>2639100</v>
      </c>
      <c r="F1053" s="6">
        <v>2276338.1</v>
      </c>
      <c r="G1053" s="36">
        <v>2276338.1</v>
      </c>
      <c r="H1053" s="34">
        <v>3300</v>
      </c>
      <c r="I1053" s="12" t="s">
        <v>149</v>
      </c>
      <c r="J1053" s="6">
        <v>2276338.1</v>
      </c>
      <c r="K1053" s="6">
        <v>2276338.1</v>
      </c>
      <c r="L1053" s="6">
        <v>2276338.1</v>
      </c>
      <c r="M1053" s="28">
        <v>443</v>
      </c>
      <c r="N1053" s="7" t="s">
        <v>279</v>
      </c>
      <c r="O1053" s="29" t="s">
        <v>245</v>
      </c>
      <c r="P1053" s="29" t="s">
        <v>245</v>
      </c>
      <c r="Q1053" s="29" t="s">
        <v>245</v>
      </c>
      <c r="R1053" s="39">
        <v>43110</v>
      </c>
      <c r="S1053" s="31" t="s">
        <v>246</v>
      </c>
      <c r="T1053" s="32">
        <v>2017</v>
      </c>
      <c r="U1053" s="40">
        <v>43100</v>
      </c>
      <c r="V1053" s="32"/>
    </row>
    <row r="1054" spans="1:22" ht="19.5" customHeight="1" x14ac:dyDescent="0.3">
      <c r="A1054" s="34">
        <v>2017</v>
      </c>
      <c r="B1054" s="35">
        <v>43009</v>
      </c>
      <c r="C1054" s="34">
        <v>3000</v>
      </c>
      <c r="D1054" s="12" t="s">
        <v>150</v>
      </c>
      <c r="E1054" s="6">
        <v>940365</v>
      </c>
      <c r="F1054" s="6">
        <v>461277.78</v>
      </c>
      <c r="G1054" s="36">
        <v>461277.78</v>
      </c>
      <c r="H1054" s="34">
        <v>3300</v>
      </c>
      <c r="I1054" s="12" t="s">
        <v>150</v>
      </c>
      <c r="J1054" s="6">
        <v>461277.78</v>
      </c>
      <c r="K1054" s="6">
        <v>461277.78</v>
      </c>
      <c r="L1054" s="6">
        <v>461277.78</v>
      </c>
      <c r="M1054" s="37">
        <v>444</v>
      </c>
      <c r="N1054" s="7" t="s">
        <v>279</v>
      </c>
      <c r="O1054" s="29" t="s">
        <v>245</v>
      </c>
      <c r="P1054" s="29" t="s">
        <v>245</v>
      </c>
      <c r="Q1054" s="29" t="s">
        <v>245</v>
      </c>
      <c r="R1054" s="39">
        <v>43110</v>
      </c>
      <c r="S1054" s="31" t="s">
        <v>246</v>
      </c>
      <c r="T1054" s="32">
        <v>2017</v>
      </c>
      <c r="U1054" s="40">
        <v>43100</v>
      </c>
      <c r="V1054" s="32"/>
    </row>
    <row r="1055" spans="1:22" ht="19.5" customHeight="1" x14ac:dyDescent="0.3">
      <c r="A1055" s="34">
        <v>2017</v>
      </c>
      <c r="B1055" s="35">
        <v>43009</v>
      </c>
      <c r="C1055" s="34">
        <v>3000</v>
      </c>
      <c r="D1055" s="12" t="s">
        <v>151</v>
      </c>
      <c r="E1055" s="6">
        <v>975577.63</v>
      </c>
      <c r="F1055" s="6">
        <v>322322.64</v>
      </c>
      <c r="G1055" s="36">
        <v>322322.64</v>
      </c>
      <c r="H1055" s="34">
        <v>3300</v>
      </c>
      <c r="I1055" s="12" t="s">
        <v>151</v>
      </c>
      <c r="J1055" s="6">
        <v>322322.64</v>
      </c>
      <c r="K1055" s="6">
        <v>322322.64</v>
      </c>
      <c r="L1055" s="6">
        <v>322322.64</v>
      </c>
      <c r="M1055" s="28">
        <v>445</v>
      </c>
      <c r="N1055" s="7" t="s">
        <v>279</v>
      </c>
      <c r="O1055" s="29" t="s">
        <v>245</v>
      </c>
      <c r="P1055" s="29" t="s">
        <v>245</v>
      </c>
      <c r="Q1055" s="29" t="s">
        <v>245</v>
      </c>
      <c r="R1055" s="39">
        <v>43110</v>
      </c>
      <c r="S1055" s="31" t="s">
        <v>246</v>
      </c>
      <c r="T1055" s="32">
        <v>2017</v>
      </c>
      <c r="U1055" s="40">
        <v>43100</v>
      </c>
      <c r="V1055" s="32"/>
    </row>
    <row r="1056" spans="1:22" ht="19.5" customHeight="1" x14ac:dyDescent="0.3">
      <c r="A1056" s="34">
        <v>2017</v>
      </c>
      <c r="B1056" s="35">
        <v>43009</v>
      </c>
      <c r="C1056" s="34">
        <v>3000</v>
      </c>
      <c r="D1056" s="12" t="s">
        <v>152</v>
      </c>
      <c r="E1056" s="6">
        <v>956024.29</v>
      </c>
      <c r="F1056" s="6">
        <v>468146.45</v>
      </c>
      <c r="G1056" s="36">
        <v>468146.45</v>
      </c>
      <c r="H1056" s="34">
        <v>3300</v>
      </c>
      <c r="I1056" s="12" t="s">
        <v>152</v>
      </c>
      <c r="J1056" s="6">
        <v>468146.45</v>
      </c>
      <c r="K1056" s="6">
        <v>468146.45</v>
      </c>
      <c r="L1056" s="6">
        <v>468146.45</v>
      </c>
      <c r="M1056" s="37">
        <v>446</v>
      </c>
      <c r="N1056" s="7" t="s">
        <v>279</v>
      </c>
      <c r="O1056" s="29" t="s">
        <v>245</v>
      </c>
      <c r="P1056" s="29" t="s">
        <v>245</v>
      </c>
      <c r="Q1056" s="29" t="s">
        <v>245</v>
      </c>
      <c r="R1056" s="39">
        <v>43110</v>
      </c>
      <c r="S1056" s="31" t="s">
        <v>246</v>
      </c>
      <c r="T1056" s="32">
        <v>2017</v>
      </c>
      <c r="U1056" s="40">
        <v>43100</v>
      </c>
      <c r="V1056" s="32"/>
    </row>
    <row r="1057" spans="1:22" ht="19.5" customHeight="1" x14ac:dyDescent="0.3">
      <c r="A1057" s="34">
        <v>2017</v>
      </c>
      <c r="B1057" s="35">
        <v>43009</v>
      </c>
      <c r="C1057" s="34">
        <v>3000</v>
      </c>
      <c r="D1057" s="12" t="s">
        <v>153</v>
      </c>
      <c r="E1057" s="6">
        <v>906088</v>
      </c>
      <c r="F1057" s="6">
        <v>383607.2</v>
      </c>
      <c r="G1057" s="36">
        <v>383607.19999999995</v>
      </c>
      <c r="H1057" s="34">
        <v>3300</v>
      </c>
      <c r="I1057" s="12" t="s">
        <v>153</v>
      </c>
      <c r="J1057" s="6">
        <v>383607.2</v>
      </c>
      <c r="K1057" s="6">
        <v>383607.2</v>
      </c>
      <c r="L1057" s="6">
        <v>383607.2</v>
      </c>
      <c r="M1057" s="28">
        <v>447</v>
      </c>
      <c r="N1057" s="7" t="s">
        <v>279</v>
      </c>
      <c r="O1057" s="29" t="s">
        <v>245</v>
      </c>
      <c r="P1057" s="29" t="s">
        <v>245</v>
      </c>
      <c r="Q1057" s="29" t="s">
        <v>245</v>
      </c>
      <c r="R1057" s="39">
        <v>43110</v>
      </c>
      <c r="S1057" s="31" t="s">
        <v>246</v>
      </c>
      <c r="T1057" s="32">
        <v>2017</v>
      </c>
      <c r="U1057" s="40">
        <v>43100</v>
      </c>
      <c r="V1057" s="32"/>
    </row>
    <row r="1058" spans="1:22" ht="19.5" customHeight="1" x14ac:dyDescent="0.3">
      <c r="A1058" s="34">
        <v>2017</v>
      </c>
      <c r="B1058" s="35">
        <v>43009</v>
      </c>
      <c r="C1058" s="34">
        <v>3000</v>
      </c>
      <c r="D1058" s="12" t="s">
        <v>154</v>
      </c>
      <c r="E1058" s="6">
        <v>26138849.039999999</v>
      </c>
      <c r="F1058" s="6">
        <v>17191895.780000001</v>
      </c>
      <c r="G1058" s="36">
        <v>17191895.779999997</v>
      </c>
      <c r="H1058" s="34">
        <v>3300</v>
      </c>
      <c r="I1058" s="12" t="s">
        <v>154</v>
      </c>
      <c r="J1058" s="6">
        <v>17191895.780000001</v>
      </c>
      <c r="K1058" s="6">
        <v>17191895.780000001</v>
      </c>
      <c r="L1058" s="6">
        <v>17191895.780000001</v>
      </c>
      <c r="M1058" s="37">
        <v>448</v>
      </c>
      <c r="N1058" s="7" t="s">
        <v>279</v>
      </c>
      <c r="O1058" s="29" t="s">
        <v>245</v>
      </c>
      <c r="P1058" s="29" t="s">
        <v>245</v>
      </c>
      <c r="Q1058" s="29" t="s">
        <v>245</v>
      </c>
      <c r="R1058" s="39">
        <v>43110</v>
      </c>
      <c r="S1058" s="31" t="s">
        <v>246</v>
      </c>
      <c r="T1058" s="32">
        <v>2017</v>
      </c>
      <c r="U1058" s="40">
        <v>43100</v>
      </c>
      <c r="V1058" s="32"/>
    </row>
    <row r="1059" spans="1:22" ht="19.5" customHeight="1" x14ac:dyDescent="0.3">
      <c r="A1059" s="34">
        <v>2017</v>
      </c>
      <c r="B1059" s="35">
        <v>43009</v>
      </c>
      <c r="C1059" s="34">
        <v>3000</v>
      </c>
      <c r="D1059" s="12" t="s">
        <v>155</v>
      </c>
      <c r="E1059" s="6">
        <v>6068622.0199999996</v>
      </c>
      <c r="F1059" s="6">
        <v>2435656.2599999998</v>
      </c>
      <c r="G1059" s="36">
        <v>2435656.2599999998</v>
      </c>
      <c r="H1059" s="34">
        <v>3300</v>
      </c>
      <c r="I1059" s="12" t="s">
        <v>155</v>
      </c>
      <c r="J1059" s="6">
        <v>2435656.2599999998</v>
      </c>
      <c r="K1059" s="6">
        <v>2435656.2599999998</v>
      </c>
      <c r="L1059" s="6">
        <v>2435656.2599999998</v>
      </c>
      <c r="M1059" s="28">
        <v>449</v>
      </c>
      <c r="N1059" s="7" t="s">
        <v>279</v>
      </c>
      <c r="O1059" s="29" t="s">
        <v>245</v>
      </c>
      <c r="P1059" s="29" t="s">
        <v>245</v>
      </c>
      <c r="Q1059" s="29" t="s">
        <v>245</v>
      </c>
      <c r="R1059" s="39">
        <v>43110</v>
      </c>
      <c r="S1059" s="31" t="s">
        <v>246</v>
      </c>
      <c r="T1059" s="32">
        <v>2017</v>
      </c>
      <c r="U1059" s="40">
        <v>43100</v>
      </c>
      <c r="V1059" s="32"/>
    </row>
    <row r="1060" spans="1:22" ht="19.5" customHeight="1" x14ac:dyDescent="0.3">
      <c r="A1060" s="34">
        <v>2017</v>
      </c>
      <c r="B1060" s="35">
        <v>43009</v>
      </c>
      <c r="C1060" s="34">
        <v>3000</v>
      </c>
      <c r="D1060" s="12" t="s">
        <v>157</v>
      </c>
      <c r="E1060" s="6">
        <v>2627929.5</v>
      </c>
      <c r="F1060" s="6">
        <v>1128487.53</v>
      </c>
      <c r="G1060" s="36">
        <v>1128487.53</v>
      </c>
      <c r="H1060" s="34">
        <v>3400</v>
      </c>
      <c r="I1060" s="12" t="s">
        <v>157</v>
      </c>
      <c r="J1060" s="6">
        <v>1128487.53</v>
      </c>
      <c r="K1060" s="6">
        <v>1128487.53</v>
      </c>
      <c r="L1060" s="6">
        <v>1128487.53</v>
      </c>
      <c r="M1060" s="37">
        <v>450</v>
      </c>
      <c r="N1060" s="7" t="s">
        <v>279</v>
      </c>
      <c r="O1060" s="29" t="s">
        <v>245</v>
      </c>
      <c r="P1060" s="29" t="s">
        <v>245</v>
      </c>
      <c r="Q1060" s="29" t="s">
        <v>245</v>
      </c>
      <c r="R1060" s="39">
        <v>43110</v>
      </c>
      <c r="S1060" s="31" t="s">
        <v>246</v>
      </c>
      <c r="T1060" s="32">
        <v>2017</v>
      </c>
      <c r="U1060" s="40">
        <v>43100</v>
      </c>
      <c r="V1060" s="32"/>
    </row>
    <row r="1061" spans="1:22" ht="19.5" customHeight="1" x14ac:dyDescent="0.3">
      <c r="A1061" s="34">
        <v>2017</v>
      </c>
      <c r="B1061" s="35">
        <v>43009</v>
      </c>
      <c r="C1061" s="34">
        <v>3000</v>
      </c>
      <c r="D1061" s="12" t="s">
        <v>158</v>
      </c>
      <c r="E1061" s="6">
        <v>0</v>
      </c>
      <c r="F1061" s="6">
        <v>21924</v>
      </c>
      <c r="G1061" s="36">
        <v>21924</v>
      </c>
      <c r="H1061" s="34">
        <v>3400</v>
      </c>
      <c r="I1061" s="12" t="s">
        <v>158</v>
      </c>
      <c r="J1061" s="6">
        <v>21924</v>
      </c>
      <c r="K1061" s="6">
        <v>21924</v>
      </c>
      <c r="L1061" s="6">
        <v>21924</v>
      </c>
      <c r="M1061" s="28">
        <v>451</v>
      </c>
      <c r="N1061" s="7" t="s">
        <v>279</v>
      </c>
      <c r="O1061" s="29" t="s">
        <v>245</v>
      </c>
      <c r="P1061" s="29" t="s">
        <v>245</v>
      </c>
      <c r="Q1061" s="29" t="s">
        <v>245</v>
      </c>
      <c r="R1061" s="39">
        <v>43110</v>
      </c>
      <c r="S1061" s="31" t="s">
        <v>246</v>
      </c>
      <c r="T1061" s="32">
        <v>2017</v>
      </c>
      <c r="U1061" s="40">
        <v>43100</v>
      </c>
      <c r="V1061" s="32"/>
    </row>
    <row r="1062" spans="1:22" ht="19.5" customHeight="1" x14ac:dyDescent="0.3">
      <c r="A1062" s="34">
        <v>2017</v>
      </c>
      <c r="B1062" s="35">
        <v>43009</v>
      </c>
      <c r="C1062" s="34">
        <v>3000</v>
      </c>
      <c r="D1062" s="12" t="s">
        <v>159</v>
      </c>
      <c r="E1062" s="6">
        <v>330000</v>
      </c>
      <c r="F1062" s="6">
        <v>19832.04</v>
      </c>
      <c r="G1062" s="36">
        <v>19832.04</v>
      </c>
      <c r="H1062" s="34">
        <v>3400</v>
      </c>
      <c r="I1062" s="12" t="s">
        <v>159</v>
      </c>
      <c r="J1062" s="6">
        <v>19832.04</v>
      </c>
      <c r="K1062" s="6">
        <v>19832.04</v>
      </c>
      <c r="L1062" s="6">
        <v>19832.04</v>
      </c>
      <c r="M1062" s="37">
        <v>452</v>
      </c>
      <c r="N1062" s="7" t="s">
        <v>279</v>
      </c>
      <c r="O1062" s="29" t="s">
        <v>245</v>
      </c>
      <c r="P1062" s="29" t="s">
        <v>245</v>
      </c>
      <c r="Q1062" s="29" t="s">
        <v>245</v>
      </c>
      <c r="R1062" s="39">
        <v>43110</v>
      </c>
      <c r="S1062" s="31" t="s">
        <v>246</v>
      </c>
      <c r="T1062" s="32">
        <v>2017</v>
      </c>
      <c r="U1062" s="40">
        <v>43100</v>
      </c>
      <c r="V1062" s="32"/>
    </row>
    <row r="1063" spans="1:22" ht="19.5" customHeight="1" x14ac:dyDescent="0.3">
      <c r="A1063" s="34">
        <v>2017</v>
      </c>
      <c r="B1063" s="35">
        <v>43009</v>
      </c>
      <c r="C1063" s="34">
        <v>3000</v>
      </c>
      <c r="D1063" s="12" t="s">
        <v>260</v>
      </c>
      <c r="E1063" s="6">
        <v>33000</v>
      </c>
      <c r="F1063" s="6">
        <v>5054.67</v>
      </c>
      <c r="G1063" s="36">
        <v>5054.67</v>
      </c>
      <c r="H1063" s="34">
        <v>3400</v>
      </c>
      <c r="I1063" s="12" t="s">
        <v>260</v>
      </c>
      <c r="J1063" s="6">
        <v>5054.67</v>
      </c>
      <c r="K1063" s="6">
        <v>5054.67</v>
      </c>
      <c r="L1063" s="6">
        <v>5054.67</v>
      </c>
      <c r="M1063" s="28">
        <v>453</v>
      </c>
      <c r="N1063" s="7" t="s">
        <v>279</v>
      </c>
      <c r="O1063" s="29" t="s">
        <v>245</v>
      </c>
      <c r="P1063" s="29" t="s">
        <v>245</v>
      </c>
      <c r="Q1063" s="29" t="s">
        <v>245</v>
      </c>
      <c r="R1063" s="39">
        <v>43110</v>
      </c>
      <c r="S1063" s="31" t="s">
        <v>246</v>
      </c>
      <c r="T1063" s="32">
        <v>2017</v>
      </c>
      <c r="U1063" s="40">
        <v>43100</v>
      </c>
      <c r="V1063" s="32"/>
    </row>
    <row r="1064" spans="1:22" ht="19.5" customHeight="1" x14ac:dyDescent="0.3">
      <c r="A1064" s="34">
        <v>2017</v>
      </c>
      <c r="B1064" s="35">
        <v>43009</v>
      </c>
      <c r="C1064" s="34">
        <v>3000</v>
      </c>
      <c r="D1064" s="12" t="s">
        <v>160</v>
      </c>
      <c r="E1064" s="6">
        <v>0</v>
      </c>
      <c r="F1064" s="6">
        <v>5568</v>
      </c>
      <c r="G1064" s="36">
        <v>5568</v>
      </c>
      <c r="H1064" s="34">
        <v>3500</v>
      </c>
      <c r="I1064" s="12" t="s">
        <v>160</v>
      </c>
      <c r="J1064" s="6">
        <v>5568</v>
      </c>
      <c r="K1064" s="6">
        <v>5568</v>
      </c>
      <c r="L1064" s="6">
        <v>5568</v>
      </c>
      <c r="M1064" s="37">
        <v>454</v>
      </c>
      <c r="N1064" s="7" t="s">
        <v>279</v>
      </c>
      <c r="O1064" s="29" t="s">
        <v>245</v>
      </c>
      <c r="P1064" s="29" t="s">
        <v>245</v>
      </c>
      <c r="Q1064" s="29" t="s">
        <v>245</v>
      </c>
      <c r="R1064" s="39">
        <v>43110</v>
      </c>
      <c r="S1064" s="31" t="s">
        <v>246</v>
      </c>
      <c r="T1064" s="32">
        <v>2017</v>
      </c>
      <c r="U1064" s="40">
        <v>43100</v>
      </c>
      <c r="V1064" s="32"/>
    </row>
    <row r="1065" spans="1:22" ht="19.5" customHeight="1" x14ac:dyDescent="0.3">
      <c r="A1065" s="34">
        <v>2017</v>
      </c>
      <c r="B1065" s="35">
        <v>43009</v>
      </c>
      <c r="C1065" s="34">
        <v>3000</v>
      </c>
      <c r="D1065" s="12" t="s">
        <v>161</v>
      </c>
      <c r="E1065" s="6">
        <v>22000</v>
      </c>
      <c r="F1065" s="6">
        <v>60044.4</v>
      </c>
      <c r="G1065" s="36">
        <v>60044.4</v>
      </c>
      <c r="H1065" s="34">
        <v>3500</v>
      </c>
      <c r="I1065" s="12" t="s">
        <v>161</v>
      </c>
      <c r="J1065" s="6">
        <v>60044.4</v>
      </c>
      <c r="K1065" s="6">
        <v>60044.4</v>
      </c>
      <c r="L1065" s="6">
        <v>60044.4</v>
      </c>
      <c r="M1065" s="28">
        <v>455</v>
      </c>
      <c r="N1065" s="7" t="s">
        <v>279</v>
      </c>
      <c r="O1065" s="29" t="s">
        <v>245</v>
      </c>
      <c r="P1065" s="29" t="s">
        <v>245</v>
      </c>
      <c r="Q1065" s="29" t="s">
        <v>245</v>
      </c>
      <c r="R1065" s="39">
        <v>43110</v>
      </c>
      <c r="S1065" s="31" t="s">
        <v>246</v>
      </c>
      <c r="T1065" s="32">
        <v>2017</v>
      </c>
      <c r="U1065" s="40">
        <v>43100</v>
      </c>
      <c r="V1065" s="32"/>
    </row>
    <row r="1066" spans="1:22" ht="19.5" customHeight="1" x14ac:dyDescent="0.3">
      <c r="A1066" s="34">
        <v>2017</v>
      </c>
      <c r="B1066" s="35">
        <v>43009</v>
      </c>
      <c r="C1066" s="34">
        <v>3000</v>
      </c>
      <c r="D1066" s="12" t="s">
        <v>162</v>
      </c>
      <c r="E1066" s="6">
        <v>4695680</v>
      </c>
      <c r="F1066" s="6">
        <v>4646949.63</v>
      </c>
      <c r="G1066" s="36">
        <v>4646949.63</v>
      </c>
      <c r="H1066" s="34">
        <v>3500</v>
      </c>
      <c r="I1066" s="12" t="s">
        <v>162</v>
      </c>
      <c r="J1066" s="6">
        <v>4646949.63</v>
      </c>
      <c r="K1066" s="6">
        <v>4646949.63</v>
      </c>
      <c r="L1066" s="6">
        <v>4646949.63</v>
      </c>
      <c r="M1066" s="37">
        <v>456</v>
      </c>
      <c r="N1066" s="7" t="s">
        <v>279</v>
      </c>
      <c r="O1066" s="29" t="s">
        <v>245</v>
      </c>
      <c r="P1066" s="29" t="s">
        <v>245</v>
      </c>
      <c r="Q1066" s="29" t="s">
        <v>245</v>
      </c>
      <c r="R1066" s="39">
        <v>43110</v>
      </c>
      <c r="S1066" s="31" t="s">
        <v>246</v>
      </c>
      <c r="T1066" s="32">
        <v>2017</v>
      </c>
      <c r="U1066" s="40">
        <v>43100</v>
      </c>
      <c r="V1066" s="32"/>
    </row>
    <row r="1067" spans="1:22" ht="19.5" customHeight="1" x14ac:dyDescent="0.3">
      <c r="A1067" s="34">
        <v>2017</v>
      </c>
      <c r="B1067" s="35">
        <v>43009</v>
      </c>
      <c r="C1067" s="34">
        <v>3000</v>
      </c>
      <c r="D1067" s="12" t="s">
        <v>163</v>
      </c>
      <c r="E1067" s="6">
        <v>350000</v>
      </c>
      <c r="F1067" s="6">
        <v>860197.05</v>
      </c>
      <c r="G1067" s="36">
        <v>860197.05</v>
      </c>
      <c r="H1067" s="34">
        <v>3500</v>
      </c>
      <c r="I1067" s="12" t="s">
        <v>163</v>
      </c>
      <c r="J1067" s="6">
        <v>860197.05</v>
      </c>
      <c r="K1067" s="6">
        <v>860197.05</v>
      </c>
      <c r="L1067" s="6">
        <v>860197.05</v>
      </c>
      <c r="M1067" s="28">
        <v>457</v>
      </c>
      <c r="N1067" s="7" t="s">
        <v>279</v>
      </c>
      <c r="O1067" s="29" t="s">
        <v>245</v>
      </c>
      <c r="P1067" s="29" t="s">
        <v>245</v>
      </c>
      <c r="Q1067" s="29" t="s">
        <v>245</v>
      </c>
      <c r="R1067" s="39">
        <v>43110</v>
      </c>
      <c r="S1067" s="31" t="s">
        <v>246</v>
      </c>
      <c r="T1067" s="32">
        <v>2017</v>
      </c>
      <c r="U1067" s="40">
        <v>43100</v>
      </c>
      <c r="V1067" s="32"/>
    </row>
    <row r="1068" spans="1:22" ht="19.5" customHeight="1" x14ac:dyDescent="0.3">
      <c r="A1068" s="34">
        <v>2017</v>
      </c>
      <c r="B1068" s="35">
        <v>43009</v>
      </c>
      <c r="C1068" s="34">
        <v>3000</v>
      </c>
      <c r="D1068" s="12" t="s">
        <v>164</v>
      </c>
      <c r="E1068" s="6">
        <v>483437.5</v>
      </c>
      <c r="F1068" s="6">
        <v>470987.7</v>
      </c>
      <c r="G1068" s="36">
        <v>470987.69999999995</v>
      </c>
      <c r="H1068" s="34">
        <v>3500</v>
      </c>
      <c r="I1068" s="12" t="s">
        <v>164</v>
      </c>
      <c r="J1068" s="6">
        <v>470987.7</v>
      </c>
      <c r="K1068" s="6">
        <v>470987.7</v>
      </c>
      <c r="L1068" s="6">
        <v>470987.7</v>
      </c>
      <c r="M1068" s="37">
        <v>458</v>
      </c>
      <c r="N1068" s="7" t="s">
        <v>279</v>
      </c>
      <c r="O1068" s="29" t="s">
        <v>245</v>
      </c>
      <c r="P1068" s="29" t="s">
        <v>245</v>
      </c>
      <c r="Q1068" s="29" t="s">
        <v>245</v>
      </c>
      <c r="R1068" s="39">
        <v>43110</v>
      </c>
      <c r="S1068" s="31" t="s">
        <v>246</v>
      </c>
      <c r="T1068" s="32">
        <v>2017</v>
      </c>
      <c r="U1068" s="40">
        <v>43100</v>
      </c>
      <c r="V1068" s="32"/>
    </row>
    <row r="1069" spans="1:22" ht="19.5" customHeight="1" x14ac:dyDescent="0.3">
      <c r="A1069" s="34">
        <v>2017</v>
      </c>
      <c r="B1069" s="35">
        <v>43009</v>
      </c>
      <c r="C1069" s="34">
        <v>3000</v>
      </c>
      <c r="D1069" s="12" t="s">
        <v>165</v>
      </c>
      <c r="E1069" s="6">
        <v>445000</v>
      </c>
      <c r="F1069" s="6">
        <v>206223.77</v>
      </c>
      <c r="G1069" s="36">
        <v>206223.77000000002</v>
      </c>
      <c r="H1069" s="34">
        <v>3500</v>
      </c>
      <c r="I1069" s="12" t="s">
        <v>165</v>
      </c>
      <c r="J1069" s="6">
        <v>206223.77</v>
      </c>
      <c r="K1069" s="6">
        <v>206223.77</v>
      </c>
      <c r="L1069" s="6">
        <v>206223.77</v>
      </c>
      <c r="M1069" s="28">
        <v>459</v>
      </c>
      <c r="N1069" s="7" t="s">
        <v>279</v>
      </c>
      <c r="O1069" s="29" t="s">
        <v>245</v>
      </c>
      <c r="P1069" s="29" t="s">
        <v>245</v>
      </c>
      <c r="Q1069" s="29" t="s">
        <v>245</v>
      </c>
      <c r="R1069" s="39">
        <v>43110</v>
      </c>
      <c r="S1069" s="31" t="s">
        <v>246</v>
      </c>
      <c r="T1069" s="32">
        <v>2017</v>
      </c>
      <c r="U1069" s="40">
        <v>43100</v>
      </c>
      <c r="V1069" s="32"/>
    </row>
    <row r="1070" spans="1:22" ht="19.5" customHeight="1" x14ac:dyDescent="0.3">
      <c r="A1070" s="34">
        <v>2017</v>
      </c>
      <c r="B1070" s="35">
        <v>43009</v>
      </c>
      <c r="C1070" s="34">
        <v>3000</v>
      </c>
      <c r="D1070" s="12" t="s">
        <v>166</v>
      </c>
      <c r="E1070" s="6">
        <v>7896000</v>
      </c>
      <c r="F1070" s="6">
        <v>3024977.78</v>
      </c>
      <c r="G1070" s="36">
        <v>3024977.78</v>
      </c>
      <c r="H1070" s="34">
        <v>3500</v>
      </c>
      <c r="I1070" s="12" t="s">
        <v>166</v>
      </c>
      <c r="J1070" s="6">
        <v>3024977.78</v>
      </c>
      <c r="K1070" s="6">
        <v>3024977.78</v>
      </c>
      <c r="L1070" s="6">
        <v>3024977.78</v>
      </c>
      <c r="M1070" s="37">
        <v>460</v>
      </c>
      <c r="N1070" s="7" t="s">
        <v>279</v>
      </c>
      <c r="O1070" s="29" t="s">
        <v>245</v>
      </c>
      <c r="P1070" s="29" t="s">
        <v>245</v>
      </c>
      <c r="Q1070" s="29" t="s">
        <v>245</v>
      </c>
      <c r="R1070" s="39">
        <v>43110</v>
      </c>
      <c r="S1070" s="31" t="s">
        <v>246</v>
      </c>
      <c r="T1070" s="32">
        <v>2017</v>
      </c>
      <c r="U1070" s="40">
        <v>43100</v>
      </c>
      <c r="V1070" s="32"/>
    </row>
    <row r="1071" spans="1:22" ht="19.5" customHeight="1" x14ac:dyDescent="0.3">
      <c r="A1071" s="34">
        <v>2017</v>
      </c>
      <c r="B1071" s="35">
        <v>43009</v>
      </c>
      <c r="C1071" s="34">
        <v>3000</v>
      </c>
      <c r="D1071" s="12" t="s">
        <v>167</v>
      </c>
      <c r="E1071" s="6">
        <v>23000</v>
      </c>
      <c r="F1071" s="6">
        <v>22502.84</v>
      </c>
      <c r="G1071" s="36">
        <v>22502.84</v>
      </c>
      <c r="H1071" s="34">
        <v>3500</v>
      </c>
      <c r="I1071" s="12" t="s">
        <v>167</v>
      </c>
      <c r="J1071" s="6">
        <v>22502.84</v>
      </c>
      <c r="K1071" s="6">
        <v>22502.84</v>
      </c>
      <c r="L1071" s="6">
        <v>22502.84</v>
      </c>
      <c r="M1071" s="28">
        <v>461</v>
      </c>
      <c r="N1071" s="7" t="s">
        <v>279</v>
      </c>
      <c r="O1071" s="29" t="s">
        <v>245</v>
      </c>
      <c r="P1071" s="29" t="s">
        <v>245</v>
      </c>
      <c r="Q1071" s="29" t="s">
        <v>245</v>
      </c>
      <c r="R1071" s="39">
        <v>43110</v>
      </c>
      <c r="S1071" s="31" t="s">
        <v>246</v>
      </c>
      <c r="T1071" s="32">
        <v>2017</v>
      </c>
      <c r="U1071" s="40">
        <v>43100</v>
      </c>
      <c r="V1071" s="32"/>
    </row>
    <row r="1072" spans="1:22" ht="19.5" customHeight="1" x14ac:dyDescent="0.3">
      <c r="A1072" s="34">
        <v>2017</v>
      </c>
      <c r="B1072" s="35">
        <v>43009</v>
      </c>
      <c r="C1072" s="34">
        <v>3000</v>
      </c>
      <c r="D1072" s="12" t="s">
        <v>168</v>
      </c>
      <c r="E1072" s="6">
        <v>345060.9</v>
      </c>
      <c r="F1072" s="6">
        <v>262351.28999999998</v>
      </c>
      <c r="G1072" s="36">
        <v>262351.28999999998</v>
      </c>
      <c r="H1072" s="34">
        <v>3500</v>
      </c>
      <c r="I1072" s="12" t="s">
        <v>168</v>
      </c>
      <c r="J1072" s="6">
        <v>262351.28999999998</v>
      </c>
      <c r="K1072" s="6">
        <v>262351.28999999998</v>
      </c>
      <c r="L1072" s="6">
        <v>262351.28999999998</v>
      </c>
      <c r="M1072" s="37">
        <v>462</v>
      </c>
      <c r="N1072" s="7" t="s">
        <v>279</v>
      </c>
      <c r="O1072" s="29" t="s">
        <v>245</v>
      </c>
      <c r="P1072" s="29" t="s">
        <v>245</v>
      </c>
      <c r="Q1072" s="29" t="s">
        <v>245</v>
      </c>
      <c r="R1072" s="39">
        <v>43110</v>
      </c>
      <c r="S1072" s="31" t="s">
        <v>246</v>
      </c>
      <c r="T1072" s="32">
        <v>2017</v>
      </c>
      <c r="U1072" s="40">
        <v>43100</v>
      </c>
      <c r="V1072" s="32"/>
    </row>
    <row r="1073" spans="1:22" ht="19.5" customHeight="1" x14ac:dyDescent="0.3">
      <c r="A1073" s="34">
        <v>2017</v>
      </c>
      <c r="B1073" s="35">
        <v>43009</v>
      </c>
      <c r="C1073" s="34">
        <v>3000</v>
      </c>
      <c r="D1073" s="12" t="s">
        <v>169</v>
      </c>
      <c r="E1073" s="6">
        <v>5685152</v>
      </c>
      <c r="F1073" s="6">
        <v>5394999.1900000004</v>
      </c>
      <c r="G1073" s="36">
        <v>5394999.1899999995</v>
      </c>
      <c r="H1073" s="34">
        <v>3600</v>
      </c>
      <c r="I1073" s="12" t="s">
        <v>169</v>
      </c>
      <c r="J1073" s="6">
        <v>5394999.1900000004</v>
      </c>
      <c r="K1073" s="6">
        <v>5394999.1900000004</v>
      </c>
      <c r="L1073" s="6">
        <v>5394999.1900000004</v>
      </c>
      <c r="M1073" s="28">
        <v>463</v>
      </c>
      <c r="N1073" s="7" t="s">
        <v>279</v>
      </c>
      <c r="O1073" s="29" t="s">
        <v>245</v>
      </c>
      <c r="P1073" s="29" t="s">
        <v>245</v>
      </c>
      <c r="Q1073" s="29" t="s">
        <v>245</v>
      </c>
      <c r="R1073" s="39">
        <v>43110</v>
      </c>
      <c r="S1073" s="31" t="s">
        <v>246</v>
      </c>
      <c r="T1073" s="32">
        <v>2017</v>
      </c>
      <c r="U1073" s="40">
        <v>43100</v>
      </c>
      <c r="V1073" s="32"/>
    </row>
    <row r="1074" spans="1:22" ht="19.5" customHeight="1" x14ac:dyDescent="0.3">
      <c r="A1074" s="34">
        <v>2017</v>
      </c>
      <c r="B1074" s="35">
        <v>43009</v>
      </c>
      <c r="C1074" s="34">
        <v>3000</v>
      </c>
      <c r="D1074" s="12" t="s">
        <v>261</v>
      </c>
      <c r="E1074" s="6">
        <v>0</v>
      </c>
      <c r="F1074" s="6">
        <v>284.2</v>
      </c>
      <c r="G1074" s="36">
        <v>284.2</v>
      </c>
      <c r="H1074" s="34">
        <v>3600</v>
      </c>
      <c r="I1074" s="12" t="s">
        <v>261</v>
      </c>
      <c r="J1074" s="6">
        <v>284.2</v>
      </c>
      <c r="K1074" s="6">
        <v>284.2</v>
      </c>
      <c r="L1074" s="6">
        <v>284.2</v>
      </c>
      <c r="M1074" s="37">
        <v>464</v>
      </c>
      <c r="N1074" s="7" t="s">
        <v>279</v>
      </c>
      <c r="O1074" s="29" t="s">
        <v>245</v>
      </c>
      <c r="P1074" s="29" t="s">
        <v>245</v>
      </c>
      <c r="Q1074" s="29" t="s">
        <v>245</v>
      </c>
      <c r="R1074" s="39">
        <v>43110</v>
      </c>
      <c r="S1074" s="31" t="s">
        <v>246</v>
      </c>
      <c r="T1074" s="32">
        <v>2017</v>
      </c>
      <c r="U1074" s="40">
        <v>43100</v>
      </c>
      <c r="V1074" s="32"/>
    </row>
    <row r="1075" spans="1:22" ht="19.5" customHeight="1" x14ac:dyDescent="0.3">
      <c r="A1075" s="34">
        <v>2017</v>
      </c>
      <c r="B1075" s="35">
        <v>43009</v>
      </c>
      <c r="C1075" s="34">
        <v>3000</v>
      </c>
      <c r="D1075" s="12" t="s">
        <v>171</v>
      </c>
      <c r="E1075" s="6">
        <v>0</v>
      </c>
      <c r="F1075" s="6">
        <v>14450.01</v>
      </c>
      <c r="G1075" s="36">
        <v>14450.01</v>
      </c>
      <c r="H1075" s="34">
        <v>3600</v>
      </c>
      <c r="I1075" s="12" t="s">
        <v>171</v>
      </c>
      <c r="J1075" s="6">
        <v>14450.01</v>
      </c>
      <c r="K1075" s="6">
        <v>14450.01</v>
      </c>
      <c r="L1075" s="6">
        <v>14450.01</v>
      </c>
      <c r="M1075" s="28">
        <v>465</v>
      </c>
      <c r="N1075" s="7" t="s">
        <v>279</v>
      </c>
      <c r="O1075" s="29" t="s">
        <v>245</v>
      </c>
      <c r="P1075" s="29" t="s">
        <v>245</v>
      </c>
      <c r="Q1075" s="29" t="s">
        <v>245</v>
      </c>
      <c r="R1075" s="39">
        <v>43110</v>
      </c>
      <c r="S1075" s="31" t="s">
        <v>246</v>
      </c>
      <c r="T1075" s="32">
        <v>2017</v>
      </c>
      <c r="U1075" s="40">
        <v>43100</v>
      </c>
      <c r="V1075" s="32"/>
    </row>
    <row r="1076" spans="1:22" ht="19.5" customHeight="1" x14ac:dyDescent="0.3">
      <c r="A1076" s="34">
        <v>2017</v>
      </c>
      <c r="B1076" s="35">
        <v>43009</v>
      </c>
      <c r="C1076" s="34">
        <v>3000</v>
      </c>
      <c r="D1076" s="7" t="s">
        <v>172</v>
      </c>
      <c r="E1076" s="6">
        <v>0</v>
      </c>
      <c r="F1076" s="6">
        <v>190800.65</v>
      </c>
      <c r="G1076" s="36">
        <v>190800.65</v>
      </c>
      <c r="H1076" s="34">
        <v>3600</v>
      </c>
      <c r="I1076" s="7" t="s">
        <v>172</v>
      </c>
      <c r="J1076" s="6">
        <v>190800.65</v>
      </c>
      <c r="K1076" s="6">
        <v>190800.65</v>
      </c>
      <c r="L1076" s="6">
        <v>190800.65</v>
      </c>
      <c r="M1076" s="37">
        <v>466</v>
      </c>
      <c r="N1076" s="7" t="s">
        <v>279</v>
      </c>
      <c r="O1076" s="29" t="s">
        <v>245</v>
      </c>
      <c r="P1076" s="29" t="s">
        <v>245</v>
      </c>
      <c r="Q1076" s="29" t="s">
        <v>245</v>
      </c>
      <c r="R1076" s="39">
        <v>43110</v>
      </c>
      <c r="S1076" s="31" t="s">
        <v>246</v>
      </c>
      <c r="T1076" s="32">
        <v>2017</v>
      </c>
      <c r="U1076" s="40">
        <v>43100</v>
      </c>
      <c r="V1076" s="32"/>
    </row>
    <row r="1077" spans="1:22" ht="19.5" customHeight="1" x14ac:dyDescent="0.3">
      <c r="A1077" s="34">
        <v>2017</v>
      </c>
      <c r="B1077" s="35">
        <v>43009</v>
      </c>
      <c r="C1077" s="34">
        <v>3000</v>
      </c>
      <c r="D1077" s="12" t="s">
        <v>173</v>
      </c>
      <c r="E1077" s="6">
        <v>487206</v>
      </c>
      <c r="F1077" s="6">
        <v>145735.39000000001</v>
      </c>
      <c r="G1077" s="36">
        <v>145735.39000000001</v>
      </c>
      <c r="H1077" s="34">
        <v>3700</v>
      </c>
      <c r="I1077" s="12" t="s">
        <v>173</v>
      </c>
      <c r="J1077" s="6">
        <v>145735.39000000001</v>
      </c>
      <c r="K1077" s="6">
        <v>145735.39000000001</v>
      </c>
      <c r="L1077" s="6">
        <v>145735.39000000001</v>
      </c>
      <c r="M1077" s="28">
        <v>467</v>
      </c>
      <c r="N1077" s="7" t="s">
        <v>279</v>
      </c>
      <c r="O1077" s="29" t="s">
        <v>245</v>
      </c>
      <c r="P1077" s="29" t="s">
        <v>245</v>
      </c>
      <c r="Q1077" s="29" t="s">
        <v>245</v>
      </c>
      <c r="R1077" s="39">
        <v>43110</v>
      </c>
      <c r="S1077" s="31" t="s">
        <v>246</v>
      </c>
      <c r="T1077" s="32">
        <v>2017</v>
      </c>
      <c r="U1077" s="40">
        <v>43100</v>
      </c>
      <c r="V1077" s="32"/>
    </row>
    <row r="1078" spans="1:22" ht="19.5" customHeight="1" x14ac:dyDescent="0.3">
      <c r="A1078" s="34">
        <v>2017</v>
      </c>
      <c r="B1078" s="35">
        <v>43009</v>
      </c>
      <c r="C1078" s="34">
        <v>3000</v>
      </c>
      <c r="D1078" s="12" t="s">
        <v>174</v>
      </c>
      <c r="E1078" s="6">
        <v>998617</v>
      </c>
      <c r="F1078" s="6">
        <v>1095110.17</v>
      </c>
      <c r="G1078" s="36">
        <v>1095110.17</v>
      </c>
      <c r="H1078" s="34">
        <v>3700</v>
      </c>
      <c r="I1078" s="12" t="s">
        <v>174</v>
      </c>
      <c r="J1078" s="6">
        <v>1095110.17</v>
      </c>
      <c r="K1078" s="6">
        <v>1095110.17</v>
      </c>
      <c r="L1078" s="6">
        <v>1095110.17</v>
      </c>
      <c r="M1078" s="37">
        <v>468</v>
      </c>
      <c r="N1078" s="7" t="s">
        <v>279</v>
      </c>
      <c r="O1078" s="29" t="s">
        <v>245</v>
      </c>
      <c r="P1078" s="29" t="s">
        <v>245</v>
      </c>
      <c r="Q1078" s="29" t="s">
        <v>245</v>
      </c>
      <c r="R1078" s="39">
        <v>43110</v>
      </c>
      <c r="S1078" s="31" t="s">
        <v>246</v>
      </c>
      <c r="T1078" s="32">
        <v>2017</v>
      </c>
      <c r="U1078" s="40">
        <v>43100</v>
      </c>
      <c r="V1078" s="32"/>
    </row>
    <row r="1079" spans="1:22" ht="19.5" customHeight="1" x14ac:dyDescent="0.3">
      <c r="A1079" s="34">
        <v>2017</v>
      </c>
      <c r="B1079" s="35">
        <v>43009</v>
      </c>
      <c r="C1079" s="34">
        <v>3000</v>
      </c>
      <c r="D1079" s="12" t="s">
        <v>175</v>
      </c>
      <c r="E1079" s="6">
        <v>172768</v>
      </c>
      <c r="F1079" s="6">
        <v>21140.84</v>
      </c>
      <c r="G1079" s="36">
        <v>21140.84</v>
      </c>
      <c r="H1079" s="34">
        <v>3700</v>
      </c>
      <c r="I1079" s="12" t="s">
        <v>175</v>
      </c>
      <c r="J1079" s="6">
        <v>21140.84</v>
      </c>
      <c r="K1079" s="6">
        <v>21140.84</v>
      </c>
      <c r="L1079" s="6">
        <v>21140.84</v>
      </c>
      <c r="M1079" s="28">
        <v>469</v>
      </c>
      <c r="N1079" s="7" t="s">
        <v>279</v>
      </c>
      <c r="O1079" s="29" t="s">
        <v>245</v>
      </c>
      <c r="P1079" s="29" t="s">
        <v>245</v>
      </c>
      <c r="Q1079" s="29" t="s">
        <v>245</v>
      </c>
      <c r="R1079" s="39">
        <v>43110</v>
      </c>
      <c r="S1079" s="31" t="s">
        <v>246</v>
      </c>
      <c r="T1079" s="32">
        <v>2017</v>
      </c>
      <c r="U1079" s="40">
        <v>43100</v>
      </c>
      <c r="V1079" s="32"/>
    </row>
    <row r="1080" spans="1:22" ht="19.5" customHeight="1" x14ac:dyDescent="0.3">
      <c r="A1080" s="34">
        <v>2017</v>
      </c>
      <c r="B1080" s="35">
        <v>43009</v>
      </c>
      <c r="C1080" s="34">
        <v>3000</v>
      </c>
      <c r="D1080" s="12" t="s">
        <v>176</v>
      </c>
      <c r="E1080" s="6">
        <v>232600</v>
      </c>
      <c r="F1080" s="6">
        <v>57392.86</v>
      </c>
      <c r="G1080" s="36">
        <v>57392.86</v>
      </c>
      <c r="H1080" s="34">
        <v>3700</v>
      </c>
      <c r="I1080" s="12" t="s">
        <v>176</v>
      </c>
      <c r="J1080" s="6">
        <v>57392.86</v>
      </c>
      <c r="K1080" s="6">
        <v>57392.86</v>
      </c>
      <c r="L1080" s="6">
        <v>57392.86</v>
      </c>
      <c r="M1080" s="37">
        <v>470</v>
      </c>
      <c r="N1080" s="7" t="s">
        <v>279</v>
      </c>
      <c r="O1080" s="29" t="s">
        <v>245</v>
      </c>
      <c r="P1080" s="29" t="s">
        <v>245</v>
      </c>
      <c r="Q1080" s="29" t="s">
        <v>245</v>
      </c>
      <c r="R1080" s="39">
        <v>43110</v>
      </c>
      <c r="S1080" s="31" t="s">
        <v>246</v>
      </c>
      <c r="T1080" s="32">
        <v>2017</v>
      </c>
      <c r="U1080" s="40">
        <v>43100</v>
      </c>
      <c r="V1080" s="32"/>
    </row>
    <row r="1081" spans="1:22" ht="19.5" customHeight="1" x14ac:dyDescent="0.3">
      <c r="A1081" s="34">
        <v>2017</v>
      </c>
      <c r="B1081" s="35">
        <v>43009</v>
      </c>
      <c r="C1081" s="34">
        <v>3000</v>
      </c>
      <c r="D1081" s="12" t="s">
        <v>179</v>
      </c>
      <c r="E1081" s="6">
        <v>508849</v>
      </c>
      <c r="F1081" s="6">
        <v>447977.84</v>
      </c>
      <c r="G1081" s="36">
        <v>447977.83999999997</v>
      </c>
      <c r="H1081" s="34">
        <v>3700</v>
      </c>
      <c r="I1081" s="12" t="s">
        <v>179</v>
      </c>
      <c r="J1081" s="6">
        <v>447977.84</v>
      </c>
      <c r="K1081" s="6">
        <v>447977.84</v>
      </c>
      <c r="L1081" s="6">
        <v>447977.84</v>
      </c>
      <c r="M1081" s="28">
        <v>471</v>
      </c>
      <c r="N1081" s="7" t="s">
        <v>279</v>
      </c>
      <c r="O1081" s="29" t="s">
        <v>245</v>
      </c>
      <c r="P1081" s="29" t="s">
        <v>245</v>
      </c>
      <c r="Q1081" s="29" t="s">
        <v>245</v>
      </c>
      <c r="R1081" s="39">
        <v>43110</v>
      </c>
      <c r="S1081" s="31" t="s">
        <v>246</v>
      </c>
      <c r="T1081" s="32">
        <v>2017</v>
      </c>
      <c r="U1081" s="40">
        <v>43100</v>
      </c>
      <c r="V1081" s="32"/>
    </row>
    <row r="1082" spans="1:22" ht="19.5" customHeight="1" x14ac:dyDescent="0.3">
      <c r="A1082" s="34">
        <v>2017</v>
      </c>
      <c r="B1082" s="35">
        <v>43009</v>
      </c>
      <c r="C1082" s="34">
        <v>3000</v>
      </c>
      <c r="D1082" s="12" t="s">
        <v>180</v>
      </c>
      <c r="E1082" s="6">
        <v>44807</v>
      </c>
      <c r="F1082" s="6">
        <v>44283.519999999997</v>
      </c>
      <c r="G1082" s="36">
        <v>44283.520000000004</v>
      </c>
      <c r="H1082" s="34">
        <v>3700</v>
      </c>
      <c r="I1082" s="12" t="s">
        <v>180</v>
      </c>
      <c r="J1082" s="6">
        <v>44283.519999999997</v>
      </c>
      <c r="K1082" s="6">
        <v>44283.519999999997</v>
      </c>
      <c r="L1082" s="6">
        <v>44283.519999999997</v>
      </c>
      <c r="M1082" s="37">
        <v>472</v>
      </c>
      <c r="N1082" s="7" t="s">
        <v>279</v>
      </c>
      <c r="O1082" s="29" t="s">
        <v>245</v>
      </c>
      <c r="P1082" s="29" t="s">
        <v>245</v>
      </c>
      <c r="Q1082" s="29" t="s">
        <v>245</v>
      </c>
      <c r="R1082" s="39">
        <v>43110</v>
      </c>
      <c r="S1082" s="31" t="s">
        <v>246</v>
      </c>
      <c r="T1082" s="32">
        <v>2017</v>
      </c>
      <c r="U1082" s="40">
        <v>43100</v>
      </c>
      <c r="V1082" s="32"/>
    </row>
    <row r="1083" spans="1:22" ht="19.5" customHeight="1" x14ac:dyDescent="0.3">
      <c r="A1083" s="34">
        <v>2017</v>
      </c>
      <c r="B1083" s="35">
        <v>43009</v>
      </c>
      <c r="C1083" s="34">
        <v>3000</v>
      </c>
      <c r="D1083" s="7" t="s">
        <v>181</v>
      </c>
      <c r="E1083" s="6">
        <v>0</v>
      </c>
      <c r="F1083" s="6">
        <v>137557.21</v>
      </c>
      <c r="G1083" s="36">
        <v>137557.21</v>
      </c>
      <c r="H1083" s="34">
        <v>3700</v>
      </c>
      <c r="I1083" s="7" t="s">
        <v>181</v>
      </c>
      <c r="J1083" s="6">
        <v>137557.21</v>
      </c>
      <c r="K1083" s="6">
        <v>137557.21</v>
      </c>
      <c r="L1083" s="6">
        <v>137557.21</v>
      </c>
      <c r="M1083" s="28">
        <v>473</v>
      </c>
      <c r="N1083" s="7" t="s">
        <v>279</v>
      </c>
      <c r="O1083" s="29" t="s">
        <v>245</v>
      </c>
      <c r="P1083" s="29" t="s">
        <v>245</v>
      </c>
      <c r="Q1083" s="29" t="s">
        <v>245</v>
      </c>
      <c r="R1083" s="39">
        <v>43110</v>
      </c>
      <c r="S1083" s="31" t="s">
        <v>246</v>
      </c>
      <c r="T1083" s="32">
        <v>2017</v>
      </c>
      <c r="U1083" s="40">
        <v>43100</v>
      </c>
      <c r="V1083" s="32"/>
    </row>
    <row r="1084" spans="1:22" ht="19.5" customHeight="1" x14ac:dyDescent="0.3">
      <c r="A1084" s="34">
        <v>2017</v>
      </c>
      <c r="B1084" s="35">
        <v>43009</v>
      </c>
      <c r="C1084" s="34">
        <v>3000</v>
      </c>
      <c r="D1084" s="12" t="s">
        <v>263</v>
      </c>
      <c r="E1084" s="6">
        <v>50000</v>
      </c>
      <c r="F1084" s="6">
        <v>71659.25</v>
      </c>
      <c r="G1084" s="36">
        <v>71659.25</v>
      </c>
      <c r="H1084" s="34">
        <v>3800</v>
      </c>
      <c r="I1084" s="12" t="s">
        <v>263</v>
      </c>
      <c r="J1084" s="6">
        <v>71659.25</v>
      </c>
      <c r="K1084" s="6">
        <v>71659.25</v>
      </c>
      <c r="L1084" s="6">
        <v>71659.25</v>
      </c>
      <c r="M1084" s="37">
        <v>474</v>
      </c>
      <c r="N1084" s="7" t="s">
        <v>279</v>
      </c>
      <c r="O1084" s="29" t="s">
        <v>245</v>
      </c>
      <c r="P1084" s="29" t="s">
        <v>245</v>
      </c>
      <c r="Q1084" s="29" t="s">
        <v>245</v>
      </c>
      <c r="R1084" s="39">
        <v>43110</v>
      </c>
      <c r="S1084" s="31" t="s">
        <v>246</v>
      </c>
      <c r="T1084" s="32">
        <v>2017</v>
      </c>
      <c r="U1084" s="40">
        <v>43100</v>
      </c>
      <c r="V1084" s="32"/>
    </row>
    <row r="1085" spans="1:22" ht="19.5" customHeight="1" x14ac:dyDescent="0.3">
      <c r="A1085" s="34">
        <v>2017</v>
      </c>
      <c r="B1085" s="35">
        <v>43009</v>
      </c>
      <c r="C1085" s="34">
        <v>3000</v>
      </c>
      <c r="D1085" s="12" t="s">
        <v>230</v>
      </c>
      <c r="E1085" s="6">
        <v>0</v>
      </c>
      <c r="F1085" s="6">
        <v>128.55000000000001</v>
      </c>
      <c r="G1085" s="36">
        <v>128.55000000000001</v>
      </c>
      <c r="H1085" s="34">
        <v>3800</v>
      </c>
      <c r="I1085" s="12" t="s">
        <v>230</v>
      </c>
      <c r="J1085" s="6">
        <v>128.55000000000001</v>
      </c>
      <c r="K1085" s="6">
        <v>128.55000000000001</v>
      </c>
      <c r="L1085" s="6">
        <v>128.55000000000001</v>
      </c>
      <c r="M1085" s="28">
        <v>475</v>
      </c>
      <c r="N1085" s="7" t="s">
        <v>279</v>
      </c>
      <c r="O1085" s="29" t="s">
        <v>245</v>
      </c>
      <c r="P1085" s="29" t="s">
        <v>245</v>
      </c>
      <c r="Q1085" s="29" t="s">
        <v>245</v>
      </c>
      <c r="R1085" s="39">
        <v>43110</v>
      </c>
      <c r="S1085" s="31" t="s">
        <v>246</v>
      </c>
      <c r="T1085" s="32">
        <v>2017</v>
      </c>
      <c r="U1085" s="40">
        <v>43100</v>
      </c>
      <c r="V1085" s="32"/>
    </row>
    <row r="1086" spans="1:22" ht="19.5" customHeight="1" x14ac:dyDescent="0.3">
      <c r="A1086" s="34">
        <v>2017</v>
      </c>
      <c r="B1086" s="35">
        <v>43009</v>
      </c>
      <c r="C1086" s="34">
        <v>3000</v>
      </c>
      <c r="D1086" s="12" t="s">
        <v>183</v>
      </c>
      <c r="E1086" s="6">
        <v>4991829.54</v>
      </c>
      <c r="F1086" s="6">
        <v>3901270.2</v>
      </c>
      <c r="G1086" s="36">
        <v>3901270.2000000007</v>
      </c>
      <c r="H1086" s="34">
        <v>3800</v>
      </c>
      <c r="I1086" s="12" t="s">
        <v>183</v>
      </c>
      <c r="J1086" s="6">
        <v>3901270.2</v>
      </c>
      <c r="K1086" s="6">
        <v>3901270.2</v>
      </c>
      <c r="L1086" s="6">
        <v>3901270.2</v>
      </c>
      <c r="M1086" s="37">
        <v>476</v>
      </c>
      <c r="N1086" s="7" t="s">
        <v>279</v>
      </c>
      <c r="O1086" s="29" t="s">
        <v>245</v>
      </c>
      <c r="P1086" s="29" t="s">
        <v>245</v>
      </c>
      <c r="Q1086" s="29" t="s">
        <v>245</v>
      </c>
      <c r="R1086" s="39">
        <v>43110</v>
      </c>
      <c r="S1086" s="31" t="s">
        <v>246</v>
      </c>
      <c r="T1086" s="32">
        <v>2017</v>
      </c>
      <c r="U1086" s="40">
        <v>43100</v>
      </c>
      <c r="V1086" s="32"/>
    </row>
    <row r="1087" spans="1:22" ht="19.5" customHeight="1" x14ac:dyDescent="0.3">
      <c r="A1087" s="34">
        <v>2017</v>
      </c>
      <c r="B1087" s="35">
        <v>43009</v>
      </c>
      <c r="C1087" s="34">
        <v>3000</v>
      </c>
      <c r="D1087" s="12" t="s">
        <v>184</v>
      </c>
      <c r="E1087" s="6">
        <v>1400748</v>
      </c>
      <c r="F1087" s="6">
        <v>665478.30000000005</v>
      </c>
      <c r="G1087" s="36">
        <v>665478.29999999993</v>
      </c>
      <c r="H1087" s="34">
        <v>3800</v>
      </c>
      <c r="I1087" s="12" t="s">
        <v>184</v>
      </c>
      <c r="J1087" s="6">
        <v>665478.30000000005</v>
      </c>
      <c r="K1087" s="6">
        <v>665478.30000000005</v>
      </c>
      <c r="L1087" s="6">
        <v>665478.30000000005</v>
      </c>
      <c r="M1087" s="28">
        <v>477</v>
      </c>
      <c r="N1087" s="7" t="s">
        <v>279</v>
      </c>
      <c r="O1087" s="29" t="s">
        <v>245</v>
      </c>
      <c r="P1087" s="29" t="s">
        <v>245</v>
      </c>
      <c r="Q1087" s="29" t="s">
        <v>245</v>
      </c>
      <c r="R1087" s="39">
        <v>43110</v>
      </c>
      <c r="S1087" s="31" t="s">
        <v>246</v>
      </c>
      <c r="T1087" s="32">
        <v>2017</v>
      </c>
      <c r="U1087" s="40">
        <v>43100</v>
      </c>
      <c r="V1087" s="32"/>
    </row>
    <row r="1088" spans="1:22" ht="19.5" customHeight="1" x14ac:dyDescent="0.3">
      <c r="A1088" s="34">
        <v>2017</v>
      </c>
      <c r="B1088" s="35">
        <v>43009</v>
      </c>
      <c r="C1088" s="34">
        <v>3000</v>
      </c>
      <c r="D1088" s="12" t="s">
        <v>185</v>
      </c>
      <c r="E1088" s="6">
        <v>968401</v>
      </c>
      <c r="F1088" s="6">
        <v>330592.31</v>
      </c>
      <c r="G1088" s="36">
        <v>330592.31</v>
      </c>
      <c r="H1088" s="34">
        <v>3800</v>
      </c>
      <c r="I1088" s="12" t="s">
        <v>185</v>
      </c>
      <c r="J1088" s="6">
        <v>330592.31</v>
      </c>
      <c r="K1088" s="6">
        <v>330592.31</v>
      </c>
      <c r="L1088" s="6">
        <v>330592.31</v>
      </c>
      <c r="M1088" s="37">
        <v>478</v>
      </c>
      <c r="N1088" s="7" t="s">
        <v>279</v>
      </c>
      <c r="O1088" s="29" t="s">
        <v>245</v>
      </c>
      <c r="P1088" s="29" t="s">
        <v>245</v>
      </c>
      <c r="Q1088" s="29" t="s">
        <v>245</v>
      </c>
      <c r="R1088" s="39">
        <v>43110</v>
      </c>
      <c r="S1088" s="31" t="s">
        <v>246</v>
      </c>
      <c r="T1088" s="32">
        <v>2017</v>
      </c>
      <c r="U1088" s="40">
        <v>43100</v>
      </c>
      <c r="V1088" s="32"/>
    </row>
    <row r="1089" spans="1:22" ht="19.5" customHeight="1" x14ac:dyDescent="0.3">
      <c r="A1089" s="34">
        <v>2017</v>
      </c>
      <c r="B1089" s="35">
        <v>43009</v>
      </c>
      <c r="C1089" s="34">
        <v>3000</v>
      </c>
      <c r="D1089" s="7" t="s">
        <v>186</v>
      </c>
      <c r="E1089" s="6">
        <v>363371</v>
      </c>
      <c r="F1089" s="6">
        <v>123041.36</v>
      </c>
      <c r="G1089" s="36">
        <v>123041.36</v>
      </c>
      <c r="H1089" s="34">
        <v>3900</v>
      </c>
      <c r="I1089" s="7" t="s">
        <v>186</v>
      </c>
      <c r="J1089" s="6">
        <v>123041.36</v>
      </c>
      <c r="K1089" s="6">
        <v>123041.36</v>
      </c>
      <c r="L1089" s="6">
        <v>123041.36</v>
      </c>
      <c r="M1089" s="28">
        <v>479</v>
      </c>
      <c r="N1089" s="7" t="s">
        <v>279</v>
      </c>
      <c r="O1089" s="29" t="s">
        <v>245</v>
      </c>
      <c r="P1089" s="29" t="s">
        <v>245</v>
      </c>
      <c r="Q1089" s="29" t="s">
        <v>245</v>
      </c>
      <c r="R1089" s="39">
        <v>43110</v>
      </c>
      <c r="S1089" s="31" t="s">
        <v>246</v>
      </c>
      <c r="T1089" s="32">
        <v>2017</v>
      </c>
      <c r="U1089" s="40">
        <v>43100</v>
      </c>
      <c r="V1089" s="32"/>
    </row>
    <row r="1090" spans="1:22" ht="19.5" customHeight="1" x14ac:dyDescent="0.3">
      <c r="A1090" s="34">
        <v>2017</v>
      </c>
      <c r="B1090" s="35">
        <v>43009</v>
      </c>
      <c r="C1090" s="34">
        <v>3000</v>
      </c>
      <c r="D1090" s="7" t="s">
        <v>188</v>
      </c>
      <c r="E1090" s="6">
        <v>24699325.98</v>
      </c>
      <c r="F1090" s="6">
        <v>27127216</v>
      </c>
      <c r="G1090" s="36">
        <v>27127216</v>
      </c>
      <c r="H1090" s="34">
        <v>3900</v>
      </c>
      <c r="I1090" s="7" t="s">
        <v>188</v>
      </c>
      <c r="J1090" s="6">
        <v>27127216</v>
      </c>
      <c r="K1090" s="6">
        <v>27127216</v>
      </c>
      <c r="L1090" s="6">
        <v>27127216</v>
      </c>
      <c r="M1090" s="37">
        <v>480</v>
      </c>
      <c r="N1090" s="7" t="s">
        <v>279</v>
      </c>
      <c r="O1090" s="29" t="s">
        <v>245</v>
      </c>
      <c r="P1090" s="29" t="s">
        <v>245</v>
      </c>
      <c r="Q1090" s="29" t="s">
        <v>245</v>
      </c>
      <c r="R1090" s="39">
        <v>43110</v>
      </c>
      <c r="S1090" s="31" t="s">
        <v>246</v>
      </c>
      <c r="T1090" s="32">
        <v>2017</v>
      </c>
      <c r="U1090" s="40">
        <v>43100</v>
      </c>
      <c r="V1090" s="32"/>
    </row>
    <row r="1091" spans="1:22" ht="19.5" customHeight="1" x14ac:dyDescent="0.3">
      <c r="A1091" s="34">
        <v>2017</v>
      </c>
      <c r="B1091" s="35">
        <v>43009</v>
      </c>
      <c r="C1091" s="34">
        <v>3000</v>
      </c>
      <c r="D1091" s="7" t="s">
        <v>250</v>
      </c>
      <c r="E1091" s="6">
        <v>131635</v>
      </c>
      <c r="F1091" s="6">
        <v>0</v>
      </c>
      <c r="G1091" s="42">
        <v>0</v>
      </c>
      <c r="H1091" s="34">
        <v>3900</v>
      </c>
      <c r="I1091" s="7" t="s">
        <v>250</v>
      </c>
      <c r="J1091" s="6">
        <v>0</v>
      </c>
      <c r="K1091" s="6">
        <v>0</v>
      </c>
      <c r="L1091" s="6">
        <v>0</v>
      </c>
      <c r="M1091" s="28">
        <v>481</v>
      </c>
      <c r="N1091" s="7" t="s">
        <v>279</v>
      </c>
      <c r="O1091" s="29" t="s">
        <v>245</v>
      </c>
      <c r="P1091" s="29" t="s">
        <v>245</v>
      </c>
      <c r="Q1091" s="29" t="s">
        <v>245</v>
      </c>
      <c r="R1091" s="39">
        <v>43110</v>
      </c>
      <c r="S1091" s="31" t="s">
        <v>246</v>
      </c>
      <c r="T1091" s="32">
        <v>2017</v>
      </c>
      <c r="U1091" s="40">
        <v>43100</v>
      </c>
      <c r="V1091" s="32"/>
    </row>
    <row r="1092" spans="1:22" ht="19.5" customHeight="1" x14ac:dyDescent="0.3">
      <c r="A1092" s="34">
        <v>2017</v>
      </c>
      <c r="B1092" s="35">
        <v>43009</v>
      </c>
      <c r="C1092" s="34">
        <v>4000</v>
      </c>
      <c r="D1092" s="7" t="s">
        <v>282</v>
      </c>
      <c r="E1092" s="6">
        <v>0</v>
      </c>
      <c r="F1092" s="6">
        <v>148950</v>
      </c>
      <c r="G1092" s="36">
        <v>148950</v>
      </c>
      <c r="H1092" s="34">
        <v>4400</v>
      </c>
      <c r="I1092" s="7" t="s">
        <v>282</v>
      </c>
      <c r="J1092" s="6">
        <v>148950</v>
      </c>
      <c r="K1092" s="6">
        <v>148950</v>
      </c>
      <c r="L1092" s="6">
        <v>148950</v>
      </c>
      <c r="M1092" s="37">
        <v>482</v>
      </c>
      <c r="N1092" s="7" t="s">
        <v>283</v>
      </c>
      <c r="O1092" s="29" t="s">
        <v>245</v>
      </c>
      <c r="P1092" s="29" t="s">
        <v>245</v>
      </c>
      <c r="Q1092" s="29" t="s">
        <v>245</v>
      </c>
      <c r="R1092" s="39">
        <v>43110</v>
      </c>
      <c r="S1092" s="31" t="s">
        <v>246</v>
      </c>
      <c r="T1092" s="32">
        <v>2017</v>
      </c>
      <c r="U1092" s="40">
        <v>43100</v>
      </c>
      <c r="V1092" s="32"/>
    </row>
    <row r="1093" spans="1:22" ht="19.5" customHeight="1" x14ac:dyDescent="0.3">
      <c r="A1093" s="34">
        <v>2017</v>
      </c>
      <c r="B1093" s="35">
        <v>43009</v>
      </c>
      <c r="C1093" s="34">
        <v>4000</v>
      </c>
      <c r="D1093" s="12" t="s">
        <v>192</v>
      </c>
      <c r="E1093" s="6">
        <v>34380866.5</v>
      </c>
      <c r="F1093" s="6">
        <v>65680056.359999999</v>
      </c>
      <c r="G1093" s="36">
        <v>37643902.800000004</v>
      </c>
      <c r="H1093" s="34">
        <v>4400</v>
      </c>
      <c r="I1093" s="12" t="s">
        <v>192</v>
      </c>
      <c r="J1093" s="6">
        <v>37643902.799999997</v>
      </c>
      <c r="K1093" s="6">
        <v>37643902.799999997</v>
      </c>
      <c r="L1093" s="6">
        <v>37643902.799999997</v>
      </c>
      <c r="M1093" s="28">
        <v>483</v>
      </c>
      <c r="N1093" s="7" t="s">
        <v>283</v>
      </c>
      <c r="O1093" s="29" t="s">
        <v>245</v>
      </c>
      <c r="P1093" s="29" t="s">
        <v>245</v>
      </c>
      <c r="Q1093" s="29" t="s">
        <v>245</v>
      </c>
      <c r="R1093" s="39">
        <v>43110</v>
      </c>
      <c r="S1093" s="31" t="s">
        <v>246</v>
      </c>
      <c r="T1093" s="32">
        <v>2017</v>
      </c>
      <c r="U1093" s="40">
        <v>43100</v>
      </c>
      <c r="V1093" s="32"/>
    </row>
    <row r="1094" spans="1:22" ht="19.5" customHeight="1" x14ac:dyDescent="0.3">
      <c r="A1094" s="34">
        <v>2017</v>
      </c>
      <c r="B1094" s="35">
        <v>43009</v>
      </c>
      <c r="C1094" s="34">
        <v>4000</v>
      </c>
      <c r="D1094" s="12" t="s">
        <v>193</v>
      </c>
      <c r="E1094" s="6">
        <v>1766000</v>
      </c>
      <c r="F1094" s="6">
        <v>2535130.7400000002</v>
      </c>
      <c r="G1094" s="36">
        <v>2535130.7400000002</v>
      </c>
      <c r="H1094" s="34">
        <v>4400</v>
      </c>
      <c r="I1094" s="12" t="s">
        <v>193</v>
      </c>
      <c r="J1094" s="6">
        <v>2535130.7400000002</v>
      </c>
      <c r="K1094" s="6">
        <v>2535130.7400000002</v>
      </c>
      <c r="L1094" s="6">
        <v>2535130.7400000002</v>
      </c>
      <c r="M1094" s="37">
        <v>484</v>
      </c>
      <c r="N1094" s="7" t="s">
        <v>283</v>
      </c>
      <c r="O1094" s="29" t="s">
        <v>245</v>
      </c>
      <c r="P1094" s="29" t="s">
        <v>245</v>
      </c>
      <c r="Q1094" s="29" t="s">
        <v>245</v>
      </c>
      <c r="R1094" s="39">
        <v>43110</v>
      </c>
      <c r="S1094" s="31" t="s">
        <v>246</v>
      </c>
      <c r="T1094" s="32">
        <v>2017</v>
      </c>
      <c r="U1094" s="40">
        <v>43100</v>
      </c>
      <c r="V1094" s="32"/>
    </row>
    <row r="1095" spans="1:22" ht="19.5" customHeight="1" x14ac:dyDescent="0.3">
      <c r="A1095" s="34">
        <v>2017</v>
      </c>
      <c r="B1095" s="35">
        <v>43009</v>
      </c>
      <c r="C1095" s="34">
        <v>5000</v>
      </c>
      <c r="D1095" s="12" t="s">
        <v>194</v>
      </c>
      <c r="E1095" s="6">
        <v>1353642.15</v>
      </c>
      <c r="F1095" s="6">
        <v>1060629.96</v>
      </c>
      <c r="G1095" s="36">
        <v>1060629.96</v>
      </c>
      <c r="H1095" s="34">
        <v>5100</v>
      </c>
      <c r="I1095" s="12" t="s">
        <v>194</v>
      </c>
      <c r="J1095" s="6">
        <v>1060629.96</v>
      </c>
      <c r="K1095" s="6">
        <v>1060629.96</v>
      </c>
      <c r="L1095" s="6">
        <v>1060629.96</v>
      </c>
      <c r="M1095" s="28">
        <v>485</v>
      </c>
      <c r="N1095" s="7" t="s">
        <v>284</v>
      </c>
      <c r="O1095" s="29" t="s">
        <v>245</v>
      </c>
      <c r="P1095" s="29" t="s">
        <v>245</v>
      </c>
      <c r="Q1095" s="29" t="s">
        <v>245</v>
      </c>
      <c r="R1095" s="39">
        <v>43110</v>
      </c>
      <c r="S1095" s="31" t="s">
        <v>246</v>
      </c>
      <c r="T1095" s="32">
        <v>2017</v>
      </c>
      <c r="U1095" s="40">
        <v>43100</v>
      </c>
      <c r="V1095" s="32"/>
    </row>
    <row r="1096" spans="1:22" ht="19.5" customHeight="1" x14ac:dyDescent="0.3">
      <c r="A1096" s="34">
        <v>2017</v>
      </c>
      <c r="B1096" s="35">
        <v>43009</v>
      </c>
      <c r="C1096" s="34">
        <v>5000</v>
      </c>
      <c r="D1096" s="12" t="s">
        <v>273</v>
      </c>
      <c r="E1096" s="6">
        <v>0</v>
      </c>
      <c r="F1096" s="6">
        <v>88820.83</v>
      </c>
      <c r="G1096" s="36">
        <v>88820.83</v>
      </c>
      <c r="H1096" s="34">
        <v>5100</v>
      </c>
      <c r="I1096" s="12" t="s">
        <v>273</v>
      </c>
      <c r="J1096" s="6">
        <v>88820.83</v>
      </c>
      <c r="K1096" s="6">
        <v>88820.83</v>
      </c>
      <c r="L1096" s="6">
        <v>88820.83</v>
      </c>
      <c r="M1096" s="37">
        <v>486</v>
      </c>
      <c r="N1096" s="7" t="s">
        <v>284</v>
      </c>
      <c r="O1096" s="29" t="s">
        <v>245</v>
      </c>
      <c r="P1096" s="29" t="s">
        <v>245</v>
      </c>
      <c r="Q1096" s="29" t="s">
        <v>245</v>
      </c>
      <c r="R1096" s="39">
        <v>43110</v>
      </c>
      <c r="S1096" s="31" t="s">
        <v>246</v>
      </c>
      <c r="T1096" s="32">
        <v>2017</v>
      </c>
      <c r="U1096" s="40">
        <v>43100</v>
      </c>
      <c r="V1096" s="32"/>
    </row>
    <row r="1097" spans="1:22" ht="19.5" customHeight="1" x14ac:dyDescent="0.3">
      <c r="A1097" s="34">
        <v>2017</v>
      </c>
      <c r="B1097" s="35">
        <v>43009</v>
      </c>
      <c r="C1097" s="34">
        <v>5000</v>
      </c>
      <c r="D1097" s="12" t="s">
        <v>195</v>
      </c>
      <c r="E1097" s="6">
        <v>0</v>
      </c>
      <c r="F1097" s="6">
        <v>986357.09</v>
      </c>
      <c r="G1097" s="36">
        <v>986357.09000000008</v>
      </c>
      <c r="H1097" s="34">
        <v>5100</v>
      </c>
      <c r="I1097" s="12" t="s">
        <v>195</v>
      </c>
      <c r="J1097" s="6">
        <v>986357.09</v>
      </c>
      <c r="K1097" s="6">
        <v>986357.09</v>
      </c>
      <c r="L1097" s="6">
        <v>986357.09</v>
      </c>
      <c r="M1097" s="28">
        <v>487</v>
      </c>
      <c r="N1097" s="7" t="s">
        <v>284</v>
      </c>
      <c r="O1097" s="29" t="s">
        <v>245</v>
      </c>
      <c r="P1097" s="29" t="s">
        <v>245</v>
      </c>
      <c r="Q1097" s="29" t="s">
        <v>245</v>
      </c>
      <c r="R1097" s="39">
        <v>43110</v>
      </c>
      <c r="S1097" s="31" t="s">
        <v>246</v>
      </c>
      <c r="T1097" s="32">
        <v>2017</v>
      </c>
      <c r="U1097" s="40">
        <v>43100</v>
      </c>
      <c r="V1097" s="32"/>
    </row>
    <row r="1098" spans="1:22" ht="19.5" customHeight="1" x14ac:dyDescent="0.3">
      <c r="A1098" s="34">
        <v>2017</v>
      </c>
      <c r="B1098" s="35">
        <v>43009</v>
      </c>
      <c r="C1098" s="34">
        <v>5000</v>
      </c>
      <c r="D1098" s="12" t="s">
        <v>196</v>
      </c>
      <c r="E1098" s="6">
        <v>3043124.16</v>
      </c>
      <c r="F1098" s="6">
        <v>37305456.460000001</v>
      </c>
      <c r="G1098" s="36">
        <v>37305456.460000001</v>
      </c>
      <c r="H1098" s="34">
        <v>5100</v>
      </c>
      <c r="I1098" s="12" t="s">
        <v>196</v>
      </c>
      <c r="J1098" s="6">
        <v>37305456.460000001</v>
      </c>
      <c r="K1098" s="6">
        <v>37305456.460000001</v>
      </c>
      <c r="L1098" s="6">
        <v>37305456.460000001</v>
      </c>
      <c r="M1098" s="37">
        <v>488</v>
      </c>
      <c r="N1098" s="7" t="s">
        <v>284</v>
      </c>
      <c r="O1098" s="29" t="s">
        <v>245</v>
      </c>
      <c r="P1098" s="29" t="s">
        <v>245</v>
      </c>
      <c r="Q1098" s="29" t="s">
        <v>245</v>
      </c>
      <c r="R1098" s="39">
        <v>43110</v>
      </c>
      <c r="S1098" s="31" t="s">
        <v>246</v>
      </c>
      <c r="T1098" s="32">
        <v>2017</v>
      </c>
      <c r="U1098" s="40">
        <v>43100</v>
      </c>
      <c r="V1098" s="32"/>
    </row>
    <row r="1099" spans="1:22" ht="19.5" customHeight="1" x14ac:dyDescent="0.3">
      <c r="A1099" s="34">
        <v>2017</v>
      </c>
      <c r="B1099" s="35">
        <v>43009</v>
      </c>
      <c r="C1099" s="34">
        <v>5000</v>
      </c>
      <c r="D1099" s="12" t="s">
        <v>197</v>
      </c>
      <c r="E1099" s="6">
        <v>182524</v>
      </c>
      <c r="F1099" s="6">
        <v>9243574.6500000004</v>
      </c>
      <c r="G1099" s="36">
        <v>9243574.6500000004</v>
      </c>
      <c r="H1099" s="34">
        <v>5100</v>
      </c>
      <c r="I1099" s="12" t="s">
        <v>197</v>
      </c>
      <c r="J1099" s="6">
        <v>9243574.6500000004</v>
      </c>
      <c r="K1099" s="6">
        <v>9243574.6500000004</v>
      </c>
      <c r="L1099" s="6">
        <v>9243574.6500000004</v>
      </c>
      <c r="M1099" s="28">
        <v>489</v>
      </c>
      <c r="N1099" s="7" t="s">
        <v>284</v>
      </c>
      <c r="O1099" s="29" t="s">
        <v>245</v>
      </c>
      <c r="P1099" s="29" t="s">
        <v>245</v>
      </c>
      <c r="Q1099" s="29" t="s">
        <v>245</v>
      </c>
      <c r="R1099" s="39">
        <v>43110</v>
      </c>
      <c r="S1099" s="31" t="s">
        <v>246</v>
      </c>
      <c r="T1099" s="32">
        <v>2017</v>
      </c>
      <c r="U1099" s="40">
        <v>43100</v>
      </c>
      <c r="V1099" s="32"/>
    </row>
    <row r="1100" spans="1:22" ht="19.5" customHeight="1" x14ac:dyDescent="0.3">
      <c r="A1100" s="34">
        <v>2017</v>
      </c>
      <c r="B1100" s="35">
        <v>43009</v>
      </c>
      <c r="C1100" s="34">
        <v>5000</v>
      </c>
      <c r="D1100" s="12" t="s">
        <v>198</v>
      </c>
      <c r="E1100" s="6">
        <v>887600.86</v>
      </c>
      <c r="F1100" s="6">
        <v>1453257.11</v>
      </c>
      <c r="G1100" s="36">
        <v>1453257.11</v>
      </c>
      <c r="H1100" s="34">
        <v>5200</v>
      </c>
      <c r="I1100" s="12" t="s">
        <v>198</v>
      </c>
      <c r="J1100" s="6">
        <v>1453257.11</v>
      </c>
      <c r="K1100" s="6">
        <v>1453257.11</v>
      </c>
      <c r="L1100" s="6">
        <v>1453257.11</v>
      </c>
      <c r="M1100" s="37">
        <v>490</v>
      </c>
      <c r="N1100" s="7" t="s">
        <v>284</v>
      </c>
      <c r="O1100" s="29" t="s">
        <v>245</v>
      </c>
      <c r="P1100" s="29" t="s">
        <v>245</v>
      </c>
      <c r="Q1100" s="29" t="s">
        <v>245</v>
      </c>
      <c r="R1100" s="39">
        <v>43110</v>
      </c>
      <c r="S1100" s="31" t="s">
        <v>246</v>
      </c>
      <c r="T1100" s="32">
        <v>2017</v>
      </c>
      <c r="U1100" s="40">
        <v>43100</v>
      </c>
      <c r="V1100" s="32"/>
    </row>
    <row r="1101" spans="1:22" ht="19.5" customHeight="1" x14ac:dyDescent="0.3">
      <c r="A1101" s="34">
        <v>2017</v>
      </c>
      <c r="B1101" s="35">
        <v>43009</v>
      </c>
      <c r="C1101" s="34">
        <v>5000</v>
      </c>
      <c r="D1101" s="12" t="s">
        <v>199</v>
      </c>
      <c r="E1101" s="6">
        <v>665042</v>
      </c>
      <c r="F1101" s="6">
        <v>566569.52</v>
      </c>
      <c r="G1101" s="36">
        <v>566569.52</v>
      </c>
      <c r="H1101" s="34">
        <v>5200</v>
      </c>
      <c r="I1101" s="12" t="s">
        <v>199</v>
      </c>
      <c r="J1101" s="6">
        <v>566569.52</v>
      </c>
      <c r="K1101" s="6">
        <v>566569.52</v>
      </c>
      <c r="L1101" s="6">
        <v>566569.52</v>
      </c>
      <c r="M1101" s="28">
        <v>491</v>
      </c>
      <c r="N1101" s="7" t="s">
        <v>284</v>
      </c>
      <c r="O1101" s="29" t="s">
        <v>245</v>
      </c>
      <c r="P1101" s="29" t="s">
        <v>245</v>
      </c>
      <c r="Q1101" s="29" t="s">
        <v>245</v>
      </c>
      <c r="R1101" s="39">
        <v>43110</v>
      </c>
      <c r="S1101" s="31" t="s">
        <v>246</v>
      </c>
      <c r="T1101" s="32">
        <v>2017</v>
      </c>
      <c r="U1101" s="40">
        <v>43100</v>
      </c>
      <c r="V1101" s="32"/>
    </row>
    <row r="1102" spans="1:22" ht="19.5" customHeight="1" x14ac:dyDescent="0.3">
      <c r="A1102" s="34">
        <v>2017</v>
      </c>
      <c r="B1102" s="35">
        <v>43009</v>
      </c>
      <c r="C1102" s="34">
        <v>5000</v>
      </c>
      <c r="D1102" s="12" t="s">
        <v>200</v>
      </c>
      <c r="E1102" s="6">
        <v>220800</v>
      </c>
      <c r="F1102" s="6">
        <v>105498.33</v>
      </c>
      <c r="G1102" s="36">
        <v>105498.32999999999</v>
      </c>
      <c r="H1102" s="34">
        <v>5200</v>
      </c>
      <c r="I1102" s="12" t="s">
        <v>200</v>
      </c>
      <c r="J1102" s="6">
        <v>105498.33</v>
      </c>
      <c r="K1102" s="6">
        <v>105498.33</v>
      </c>
      <c r="L1102" s="6">
        <v>105498.33</v>
      </c>
      <c r="M1102" s="37">
        <v>492</v>
      </c>
      <c r="N1102" s="7" t="s">
        <v>284</v>
      </c>
      <c r="O1102" s="29" t="s">
        <v>245</v>
      </c>
      <c r="P1102" s="29" t="s">
        <v>245</v>
      </c>
      <c r="Q1102" s="29" t="s">
        <v>245</v>
      </c>
      <c r="R1102" s="39">
        <v>43110</v>
      </c>
      <c r="S1102" s="31" t="s">
        <v>246</v>
      </c>
      <c r="T1102" s="32">
        <v>2017</v>
      </c>
      <c r="U1102" s="40">
        <v>43100</v>
      </c>
      <c r="V1102" s="32"/>
    </row>
    <row r="1103" spans="1:22" ht="19.5" customHeight="1" x14ac:dyDescent="0.3">
      <c r="A1103" s="34">
        <v>2017</v>
      </c>
      <c r="B1103" s="35">
        <v>43009</v>
      </c>
      <c r="C1103" s="34">
        <v>5000</v>
      </c>
      <c r="D1103" s="12" t="s">
        <v>201</v>
      </c>
      <c r="E1103" s="6">
        <v>514000</v>
      </c>
      <c r="F1103" s="6">
        <v>360160.64</v>
      </c>
      <c r="G1103" s="36">
        <v>360160.64</v>
      </c>
      <c r="H1103" s="34">
        <v>5300</v>
      </c>
      <c r="I1103" s="12" t="s">
        <v>201</v>
      </c>
      <c r="J1103" s="6">
        <v>360160.64</v>
      </c>
      <c r="K1103" s="6">
        <v>360160.64</v>
      </c>
      <c r="L1103" s="6">
        <v>360160.64</v>
      </c>
      <c r="M1103" s="28">
        <v>493</v>
      </c>
      <c r="N1103" s="7" t="s">
        <v>284</v>
      </c>
      <c r="O1103" s="29" t="s">
        <v>245</v>
      </c>
      <c r="P1103" s="29" t="s">
        <v>245</v>
      </c>
      <c r="Q1103" s="29" t="s">
        <v>245</v>
      </c>
      <c r="R1103" s="39">
        <v>43110</v>
      </c>
      <c r="S1103" s="31" t="s">
        <v>246</v>
      </c>
      <c r="T1103" s="32">
        <v>2017</v>
      </c>
      <c r="U1103" s="40">
        <v>43100</v>
      </c>
      <c r="V1103" s="32"/>
    </row>
    <row r="1104" spans="1:22" ht="19.5" customHeight="1" x14ac:dyDescent="0.3">
      <c r="A1104" s="34">
        <v>2017</v>
      </c>
      <c r="B1104" s="35">
        <v>43009</v>
      </c>
      <c r="C1104" s="34">
        <v>5000</v>
      </c>
      <c r="D1104" s="7" t="s">
        <v>285</v>
      </c>
      <c r="E1104" s="6">
        <v>0</v>
      </c>
      <c r="F1104" s="6">
        <v>1039333.31</v>
      </c>
      <c r="G1104" s="36">
        <v>1039333.31</v>
      </c>
      <c r="H1104" s="34">
        <v>5300</v>
      </c>
      <c r="I1104" s="7" t="s">
        <v>285</v>
      </c>
      <c r="J1104" s="6">
        <v>1039333.31</v>
      </c>
      <c r="K1104" s="6">
        <v>1039333.31</v>
      </c>
      <c r="L1104" s="6">
        <v>1039333.31</v>
      </c>
      <c r="M1104" s="37">
        <v>494</v>
      </c>
      <c r="N1104" s="7" t="s">
        <v>284</v>
      </c>
      <c r="O1104" s="29" t="s">
        <v>245</v>
      </c>
      <c r="P1104" s="29" t="s">
        <v>245</v>
      </c>
      <c r="Q1104" s="29" t="s">
        <v>245</v>
      </c>
      <c r="R1104" s="39">
        <v>43110</v>
      </c>
      <c r="S1104" s="31" t="s">
        <v>246</v>
      </c>
      <c r="T1104" s="32">
        <v>2017</v>
      </c>
      <c r="U1104" s="40">
        <v>43100</v>
      </c>
      <c r="V1104" s="32"/>
    </row>
    <row r="1105" spans="1:22" ht="19.5" customHeight="1" x14ac:dyDescent="0.3">
      <c r="A1105" s="34">
        <v>2017</v>
      </c>
      <c r="B1105" s="35">
        <v>43009</v>
      </c>
      <c r="C1105" s="34">
        <v>5000</v>
      </c>
      <c r="D1105" s="7" t="s">
        <v>231</v>
      </c>
      <c r="E1105" s="6">
        <v>0</v>
      </c>
      <c r="F1105" s="6">
        <v>817499.95</v>
      </c>
      <c r="G1105" s="36">
        <v>817499.95</v>
      </c>
      <c r="H1105" s="34">
        <v>5400</v>
      </c>
      <c r="I1105" s="7" t="s">
        <v>231</v>
      </c>
      <c r="J1105" s="6">
        <v>817499.95</v>
      </c>
      <c r="K1105" s="6">
        <v>817499.95</v>
      </c>
      <c r="L1105" s="6">
        <v>817499.95</v>
      </c>
      <c r="M1105" s="28">
        <v>495</v>
      </c>
      <c r="N1105" s="7" t="s">
        <v>284</v>
      </c>
      <c r="O1105" s="29" t="s">
        <v>245</v>
      </c>
      <c r="P1105" s="29" t="s">
        <v>245</v>
      </c>
      <c r="Q1105" s="29" t="s">
        <v>245</v>
      </c>
      <c r="R1105" s="39">
        <v>43110</v>
      </c>
      <c r="S1105" s="31" t="s">
        <v>246</v>
      </c>
      <c r="T1105" s="32">
        <v>2017</v>
      </c>
      <c r="U1105" s="40">
        <v>43100</v>
      </c>
      <c r="V1105" s="32"/>
    </row>
    <row r="1106" spans="1:22" ht="19.5" customHeight="1" x14ac:dyDescent="0.3">
      <c r="A1106" s="34">
        <v>2017</v>
      </c>
      <c r="B1106" s="35">
        <v>43009</v>
      </c>
      <c r="C1106" s="34">
        <v>5000</v>
      </c>
      <c r="D1106" s="7" t="s">
        <v>225</v>
      </c>
      <c r="E1106" s="6">
        <v>530000</v>
      </c>
      <c r="F1106" s="6">
        <v>0</v>
      </c>
      <c r="G1106" s="36">
        <v>0</v>
      </c>
      <c r="H1106" s="34">
        <v>5400</v>
      </c>
      <c r="I1106" s="7" t="s">
        <v>225</v>
      </c>
      <c r="J1106" s="6">
        <v>0</v>
      </c>
      <c r="K1106" s="6">
        <v>0</v>
      </c>
      <c r="L1106" s="6">
        <v>0</v>
      </c>
      <c r="M1106" s="37">
        <v>496</v>
      </c>
      <c r="N1106" s="7" t="s">
        <v>284</v>
      </c>
      <c r="O1106" s="29" t="s">
        <v>245</v>
      </c>
      <c r="P1106" s="29" t="s">
        <v>245</v>
      </c>
      <c r="Q1106" s="29" t="s">
        <v>245</v>
      </c>
      <c r="R1106" s="39">
        <v>43110</v>
      </c>
      <c r="S1106" s="31" t="s">
        <v>246</v>
      </c>
      <c r="T1106" s="32">
        <v>2017</v>
      </c>
      <c r="U1106" s="40">
        <v>43100</v>
      </c>
      <c r="V1106" s="32"/>
    </row>
    <row r="1107" spans="1:22" ht="19.5" customHeight="1" x14ac:dyDescent="0.3">
      <c r="A1107" s="34">
        <v>2017</v>
      </c>
      <c r="B1107" s="35">
        <v>43009</v>
      </c>
      <c r="C1107" s="34">
        <v>5000</v>
      </c>
      <c r="D1107" s="7" t="s">
        <v>286</v>
      </c>
      <c r="E1107" s="6">
        <v>0</v>
      </c>
      <c r="F1107" s="6">
        <v>34220</v>
      </c>
      <c r="G1107" s="36">
        <v>34220</v>
      </c>
      <c r="H1107" s="34">
        <v>5400</v>
      </c>
      <c r="I1107" s="7" t="s">
        <v>286</v>
      </c>
      <c r="J1107" s="6">
        <v>34220</v>
      </c>
      <c r="K1107" s="6">
        <v>34220</v>
      </c>
      <c r="L1107" s="6">
        <v>34220</v>
      </c>
      <c r="M1107" s="28">
        <v>497</v>
      </c>
      <c r="N1107" s="7" t="s">
        <v>284</v>
      </c>
      <c r="O1107" s="29" t="s">
        <v>245</v>
      </c>
      <c r="P1107" s="29" t="s">
        <v>245</v>
      </c>
      <c r="Q1107" s="29" t="s">
        <v>245</v>
      </c>
      <c r="R1107" s="39">
        <v>43110</v>
      </c>
      <c r="S1107" s="31" t="s">
        <v>246</v>
      </c>
      <c r="T1107" s="32">
        <v>2017</v>
      </c>
      <c r="U1107" s="40">
        <v>43100</v>
      </c>
      <c r="V1107" s="32"/>
    </row>
    <row r="1108" spans="1:22" ht="19.5" customHeight="1" x14ac:dyDescent="0.3">
      <c r="A1108" s="34">
        <v>2017</v>
      </c>
      <c r="B1108" s="35">
        <v>43009</v>
      </c>
      <c r="C1108" s="34">
        <v>5000</v>
      </c>
      <c r="D1108" s="7" t="s">
        <v>266</v>
      </c>
      <c r="E1108" s="6">
        <v>30000</v>
      </c>
      <c r="F1108" s="6">
        <v>0</v>
      </c>
      <c r="G1108" s="36">
        <v>0</v>
      </c>
      <c r="H1108" s="34">
        <v>5400</v>
      </c>
      <c r="I1108" s="7" t="s">
        <v>266</v>
      </c>
      <c r="J1108" s="6">
        <v>0</v>
      </c>
      <c r="K1108" s="6">
        <v>0</v>
      </c>
      <c r="L1108" s="6">
        <v>0</v>
      </c>
      <c r="M1108" s="37">
        <v>498</v>
      </c>
      <c r="N1108" s="7" t="s">
        <v>284</v>
      </c>
      <c r="O1108" s="29" t="s">
        <v>245</v>
      </c>
      <c r="P1108" s="29" t="s">
        <v>245</v>
      </c>
      <c r="Q1108" s="29" t="s">
        <v>245</v>
      </c>
      <c r="R1108" s="39">
        <v>43110</v>
      </c>
      <c r="S1108" s="31" t="s">
        <v>246</v>
      </c>
      <c r="T1108" s="32">
        <v>2017</v>
      </c>
      <c r="U1108" s="40">
        <v>43100</v>
      </c>
      <c r="V1108" s="32"/>
    </row>
    <row r="1109" spans="1:22" ht="19.5" customHeight="1" x14ac:dyDescent="0.3">
      <c r="A1109" s="34">
        <v>2017</v>
      </c>
      <c r="B1109" s="35">
        <v>43009</v>
      </c>
      <c r="C1109" s="34">
        <v>5000</v>
      </c>
      <c r="D1109" s="7" t="s">
        <v>232</v>
      </c>
      <c r="E1109" s="6">
        <v>80000</v>
      </c>
      <c r="F1109" s="6">
        <v>27880</v>
      </c>
      <c r="G1109" s="36">
        <v>27880</v>
      </c>
      <c r="H1109" s="34">
        <v>5400</v>
      </c>
      <c r="I1109" s="7" t="s">
        <v>232</v>
      </c>
      <c r="J1109" s="6">
        <v>27880</v>
      </c>
      <c r="K1109" s="6">
        <v>27880</v>
      </c>
      <c r="L1109" s="6">
        <v>27880</v>
      </c>
      <c r="M1109" s="28">
        <v>499</v>
      </c>
      <c r="N1109" s="7" t="s">
        <v>284</v>
      </c>
      <c r="O1109" s="29" t="s">
        <v>245</v>
      </c>
      <c r="P1109" s="29" t="s">
        <v>245</v>
      </c>
      <c r="Q1109" s="29" t="s">
        <v>245</v>
      </c>
      <c r="R1109" s="39">
        <v>43110</v>
      </c>
      <c r="S1109" s="31" t="s">
        <v>246</v>
      </c>
      <c r="T1109" s="32">
        <v>2017</v>
      </c>
      <c r="U1109" s="40">
        <v>43100</v>
      </c>
      <c r="V1109" s="32"/>
    </row>
    <row r="1110" spans="1:22" ht="19.5" customHeight="1" x14ac:dyDescent="0.3">
      <c r="A1110" s="34">
        <v>2017</v>
      </c>
      <c r="B1110" s="35">
        <v>43009</v>
      </c>
      <c r="C1110" s="34">
        <v>5000</v>
      </c>
      <c r="D1110" s="7" t="s">
        <v>226</v>
      </c>
      <c r="E1110" s="6">
        <v>0</v>
      </c>
      <c r="F1110" s="6">
        <v>17900.009999999998</v>
      </c>
      <c r="G1110" s="36">
        <v>17900.009999999998</v>
      </c>
      <c r="H1110" s="34">
        <v>5400</v>
      </c>
      <c r="I1110" s="7" t="s">
        <v>226</v>
      </c>
      <c r="J1110" s="6">
        <v>17900.009999999998</v>
      </c>
      <c r="K1110" s="6">
        <v>17900.009999999998</v>
      </c>
      <c r="L1110" s="6">
        <v>17900.009999999998</v>
      </c>
      <c r="M1110" s="37">
        <v>500</v>
      </c>
      <c r="N1110" s="7" t="s">
        <v>284</v>
      </c>
      <c r="O1110" s="29" t="s">
        <v>245</v>
      </c>
      <c r="P1110" s="29" t="s">
        <v>245</v>
      </c>
      <c r="Q1110" s="29" t="s">
        <v>245</v>
      </c>
      <c r="R1110" s="39">
        <v>43110</v>
      </c>
      <c r="S1110" s="31" t="s">
        <v>246</v>
      </c>
      <c r="T1110" s="32">
        <v>2017</v>
      </c>
      <c r="U1110" s="40">
        <v>43100</v>
      </c>
      <c r="V1110" s="32"/>
    </row>
    <row r="1111" spans="1:22" ht="19.5" customHeight="1" x14ac:dyDescent="0.3">
      <c r="A1111" s="34">
        <v>2017</v>
      </c>
      <c r="B1111" s="35">
        <v>43009</v>
      </c>
      <c r="C1111" s="34">
        <v>5000</v>
      </c>
      <c r="D1111" s="7" t="s">
        <v>287</v>
      </c>
      <c r="E1111" s="6">
        <v>0</v>
      </c>
      <c r="F1111" s="6">
        <v>8813.68</v>
      </c>
      <c r="G1111" s="36">
        <v>8813.68</v>
      </c>
      <c r="H1111" s="34">
        <v>5600</v>
      </c>
      <c r="I1111" s="7" t="s">
        <v>287</v>
      </c>
      <c r="J1111" s="6">
        <v>8813.68</v>
      </c>
      <c r="K1111" s="6">
        <v>8813.68</v>
      </c>
      <c r="L1111" s="6">
        <v>8813.68</v>
      </c>
      <c r="M1111" s="28">
        <v>501</v>
      </c>
      <c r="N1111" s="7" t="s">
        <v>284</v>
      </c>
      <c r="O1111" s="29" t="s">
        <v>245</v>
      </c>
      <c r="P1111" s="29" t="s">
        <v>245</v>
      </c>
      <c r="Q1111" s="29" t="s">
        <v>245</v>
      </c>
      <c r="R1111" s="39">
        <v>43110</v>
      </c>
      <c r="S1111" s="31" t="s">
        <v>246</v>
      </c>
      <c r="T1111" s="32">
        <v>2017</v>
      </c>
      <c r="U1111" s="40">
        <v>43100</v>
      </c>
      <c r="V1111" s="32"/>
    </row>
    <row r="1112" spans="1:22" ht="19.5" customHeight="1" x14ac:dyDescent="0.3">
      <c r="A1112" s="34">
        <v>2017</v>
      </c>
      <c r="B1112" s="35">
        <v>43009</v>
      </c>
      <c r="C1112" s="34">
        <v>5000</v>
      </c>
      <c r="D1112" s="7" t="s">
        <v>204</v>
      </c>
      <c r="E1112" s="6">
        <v>134000</v>
      </c>
      <c r="F1112" s="6">
        <v>390131.03</v>
      </c>
      <c r="G1112" s="36">
        <v>390131.03</v>
      </c>
      <c r="H1112" s="34">
        <v>5600</v>
      </c>
      <c r="I1112" s="7" t="s">
        <v>204</v>
      </c>
      <c r="J1112" s="6">
        <v>390131.03</v>
      </c>
      <c r="K1112" s="6">
        <v>390131.03</v>
      </c>
      <c r="L1112" s="6">
        <v>390131.03</v>
      </c>
      <c r="M1112" s="37">
        <v>502</v>
      </c>
      <c r="N1112" s="7" t="s">
        <v>284</v>
      </c>
      <c r="O1112" s="29" t="s">
        <v>245</v>
      </c>
      <c r="P1112" s="29" t="s">
        <v>245</v>
      </c>
      <c r="Q1112" s="29" t="s">
        <v>245</v>
      </c>
      <c r="R1112" s="39">
        <v>43110</v>
      </c>
      <c r="S1112" s="31" t="s">
        <v>246</v>
      </c>
      <c r="T1112" s="32">
        <v>2017</v>
      </c>
      <c r="U1112" s="40">
        <v>43100</v>
      </c>
      <c r="V1112" s="32"/>
    </row>
    <row r="1113" spans="1:22" ht="19.5" customHeight="1" x14ac:dyDescent="0.3">
      <c r="A1113" s="34">
        <v>2017</v>
      </c>
      <c r="B1113" s="35">
        <v>43009</v>
      </c>
      <c r="C1113" s="34">
        <v>5000</v>
      </c>
      <c r="D1113" s="7" t="s">
        <v>206</v>
      </c>
      <c r="E1113" s="6">
        <v>486139</v>
      </c>
      <c r="F1113" s="6">
        <v>527141.35</v>
      </c>
      <c r="G1113" s="36">
        <v>527141.35</v>
      </c>
      <c r="H1113" s="34">
        <v>5600</v>
      </c>
      <c r="I1113" s="7" t="s">
        <v>206</v>
      </c>
      <c r="J1113" s="6">
        <v>527141.35</v>
      </c>
      <c r="K1113" s="6">
        <v>527141.35</v>
      </c>
      <c r="L1113" s="6">
        <v>527141.35</v>
      </c>
      <c r="M1113" s="28">
        <v>503</v>
      </c>
      <c r="N1113" s="7" t="s">
        <v>284</v>
      </c>
      <c r="O1113" s="29" t="s">
        <v>245</v>
      </c>
      <c r="P1113" s="29" t="s">
        <v>245</v>
      </c>
      <c r="Q1113" s="29" t="s">
        <v>245</v>
      </c>
      <c r="R1113" s="39">
        <v>43110</v>
      </c>
      <c r="S1113" s="31" t="s">
        <v>246</v>
      </c>
      <c r="T1113" s="32">
        <v>2017</v>
      </c>
      <c r="U1113" s="40">
        <v>43100</v>
      </c>
      <c r="V1113" s="32"/>
    </row>
    <row r="1114" spans="1:22" ht="19.5" customHeight="1" x14ac:dyDescent="0.3">
      <c r="A1114" s="34">
        <v>2017</v>
      </c>
      <c r="B1114" s="35">
        <v>43009</v>
      </c>
      <c r="C1114" s="34">
        <v>5000</v>
      </c>
      <c r="D1114" s="7" t="s">
        <v>207</v>
      </c>
      <c r="E1114" s="6">
        <v>85406.82</v>
      </c>
      <c r="F1114" s="6">
        <v>23848301.16</v>
      </c>
      <c r="G1114" s="36">
        <v>23848301.160000004</v>
      </c>
      <c r="H1114" s="34">
        <v>5600</v>
      </c>
      <c r="I1114" s="7" t="s">
        <v>207</v>
      </c>
      <c r="J1114" s="6">
        <v>23848301.16</v>
      </c>
      <c r="K1114" s="6">
        <v>23848301.16</v>
      </c>
      <c r="L1114" s="6">
        <v>23848301.16</v>
      </c>
      <c r="M1114" s="37">
        <v>504</v>
      </c>
      <c r="N1114" s="7" t="s">
        <v>284</v>
      </c>
      <c r="O1114" s="29" t="s">
        <v>245</v>
      </c>
      <c r="P1114" s="29" t="s">
        <v>245</v>
      </c>
      <c r="Q1114" s="29" t="s">
        <v>245</v>
      </c>
      <c r="R1114" s="39">
        <v>43110</v>
      </c>
      <c r="S1114" s="31" t="s">
        <v>246</v>
      </c>
      <c r="T1114" s="32">
        <v>2017</v>
      </c>
      <c r="U1114" s="40">
        <v>43100</v>
      </c>
      <c r="V1114" s="32"/>
    </row>
    <row r="1115" spans="1:22" ht="19.5" customHeight="1" x14ac:dyDescent="0.3">
      <c r="A1115" s="34">
        <v>2017</v>
      </c>
      <c r="B1115" s="35">
        <v>43009</v>
      </c>
      <c r="C1115" s="34">
        <v>5000</v>
      </c>
      <c r="D1115" s="7" t="s">
        <v>208</v>
      </c>
      <c r="E1115" s="6">
        <v>0</v>
      </c>
      <c r="F1115" s="6">
        <v>46286.19</v>
      </c>
      <c r="G1115" s="36">
        <v>46286.19</v>
      </c>
      <c r="H1115" s="34">
        <v>5600</v>
      </c>
      <c r="I1115" s="7" t="s">
        <v>208</v>
      </c>
      <c r="J1115" s="6">
        <v>46286.19</v>
      </c>
      <c r="K1115" s="6">
        <v>46286.19</v>
      </c>
      <c r="L1115" s="6">
        <v>46286.19</v>
      </c>
      <c r="M1115" s="28">
        <v>505</v>
      </c>
      <c r="N1115" s="7" t="s">
        <v>284</v>
      </c>
      <c r="O1115" s="29" t="s">
        <v>245</v>
      </c>
      <c r="P1115" s="29" t="s">
        <v>245</v>
      </c>
      <c r="Q1115" s="29" t="s">
        <v>245</v>
      </c>
      <c r="R1115" s="39">
        <v>43110</v>
      </c>
      <c r="S1115" s="31" t="s">
        <v>246</v>
      </c>
      <c r="T1115" s="32">
        <v>2017</v>
      </c>
      <c r="U1115" s="40">
        <v>43100</v>
      </c>
      <c r="V1115" s="32"/>
    </row>
    <row r="1116" spans="1:22" ht="19.5" customHeight="1" x14ac:dyDescent="0.3">
      <c r="A1116" s="34">
        <v>2017</v>
      </c>
      <c r="B1116" s="35">
        <v>43009</v>
      </c>
      <c r="C1116" s="34">
        <v>5000</v>
      </c>
      <c r="D1116" s="7" t="s">
        <v>274</v>
      </c>
      <c r="E1116" s="6">
        <v>0</v>
      </c>
      <c r="F1116" s="6">
        <v>106266.06</v>
      </c>
      <c r="G1116" s="36">
        <v>106266.06</v>
      </c>
      <c r="H1116" s="34">
        <v>5600</v>
      </c>
      <c r="I1116" s="7" t="s">
        <v>274</v>
      </c>
      <c r="J1116" s="6">
        <v>106266.06</v>
      </c>
      <c r="K1116" s="6">
        <v>106266.06</v>
      </c>
      <c r="L1116" s="6">
        <v>106266.06</v>
      </c>
      <c r="M1116" s="37">
        <v>506</v>
      </c>
      <c r="N1116" s="7" t="s">
        <v>284</v>
      </c>
      <c r="O1116" s="29" t="s">
        <v>245</v>
      </c>
      <c r="P1116" s="29" t="s">
        <v>245</v>
      </c>
      <c r="Q1116" s="29" t="s">
        <v>245</v>
      </c>
      <c r="R1116" s="39">
        <v>43110</v>
      </c>
      <c r="S1116" s="31" t="s">
        <v>246</v>
      </c>
      <c r="T1116" s="32">
        <v>2017</v>
      </c>
      <c r="U1116" s="40">
        <v>43100</v>
      </c>
      <c r="V1116" s="32"/>
    </row>
    <row r="1117" spans="1:22" ht="19.5" customHeight="1" x14ac:dyDescent="0.3">
      <c r="A1117" s="34">
        <v>2017</v>
      </c>
      <c r="B1117" s="35">
        <v>43009</v>
      </c>
      <c r="C1117" s="34">
        <v>5000</v>
      </c>
      <c r="D1117" s="7" t="s">
        <v>210</v>
      </c>
      <c r="E1117" s="6">
        <v>0</v>
      </c>
      <c r="F1117" s="6">
        <v>43058.04</v>
      </c>
      <c r="G1117" s="36">
        <v>43058.04</v>
      </c>
      <c r="H1117" s="34">
        <v>5600</v>
      </c>
      <c r="I1117" s="7" t="s">
        <v>210</v>
      </c>
      <c r="J1117" s="6">
        <v>43058.04</v>
      </c>
      <c r="K1117" s="6">
        <v>43058.04</v>
      </c>
      <c r="L1117" s="6">
        <v>43058.04</v>
      </c>
      <c r="M1117" s="28">
        <v>507</v>
      </c>
      <c r="N1117" s="7" t="s">
        <v>284</v>
      </c>
      <c r="O1117" s="29" t="s">
        <v>245</v>
      </c>
      <c r="P1117" s="29" t="s">
        <v>245</v>
      </c>
      <c r="Q1117" s="29" t="s">
        <v>245</v>
      </c>
      <c r="R1117" s="39">
        <v>43110</v>
      </c>
      <c r="S1117" s="31" t="s">
        <v>246</v>
      </c>
      <c r="T1117" s="32">
        <v>2017</v>
      </c>
      <c r="U1117" s="40">
        <v>43100</v>
      </c>
      <c r="V1117" s="32"/>
    </row>
    <row r="1118" spans="1:22" ht="19.5" customHeight="1" x14ac:dyDescent="0.3">
      <c r="A1118" s="34">
        <v>2017</v>
      </c>
      <c r="B1118" s="35">
        <v>43009</v>
      </c>
      <c r="C1118" s="34">
        <v>5000</v>
      </c>
      <c r="D1118" s="7" t="s">
        <v>211</v>
      </c>
      <c r="E1118" s="6">
        <v>0</v>
      </c>
      <c r="F1118" s="6">
        <v>36424181</v>
      </c>
      <c r="G1118" s="36">
        <v>36424181</v>
      </c>
      <c r="H1118" s="34">
        <v>5800</v>
      </c>
      <c r="I1118" s="7" t="s">
        <v>211</v>
      </c>
      <c r="J1118" s="6">
        <v>36424181</v>
      </c>
      <c r="K1118" s="6">
        <v>36424181</v>
      </c>
      <c r="L1118" s="6">
        <v>36424181</v>
      </c>
      <c r="M1118" s="37">
        <v>508</v>
      </c>
      <c r="N1118" s="7" t="s">
        <v>284</v>
      </c>
      <c r="O1118" s="29" t="s">
        <v>245</v>
      </c>
      <c r="P1118" s="29" t="s">
        <v>245</v>
      </c>
      <c r="Q1118" s="29" t="s">
        <v>245</v>
      </c>
      <c r="R1118" s="39">
        <v>43110</v>
      </c>
      <c r="S1118" s="31" t="s">
        <v>246</v>
      </c>
      <c r="T1118" s="32">
        <v>2017</v>
      </c>
      <c r="U1118" s="40">
        <v>43100</v>
      </c>
      <c r="V1118" s="32"/>
    </row>
    <row r="1119" spans="1:22" ht="19.5" customHeight="1" x14ac:dyDescent="0.3">
      <c r="A1119" s="34">
        <v>2017</v>
      </c>
      <c r="B1119" s="35">
        <v>43009</v>
      </c>
      <c r="C1119" s="34">
        <v>5000</v>
      </c>
      <c r="D1119" s="7" t="s">
        <v>288</v>
      </c>
      <c r="E1119" s="6">
        <v>0</v>
      </c>
      <c r="F1119" s="6">
        <v>23297230.039999999</v>
      </c>
      <c r="G1119" s="36">
        <v>23297230.039999999</v>
      </c>
      <c r="H1119" s="34">
        <v>5800</v>
      </c>
      <c r="I1119" s="7" t="s">
        <v>288</v>
      </c>
      <c r="J1119" s="6">
        <v>23297230.039999999</v>
      </c>
      <c r="K1119" s="6">
        <v>23297230.039999999</v>
      </c>
      <c r="L1119" s="6">
        <v>23297230.039999999</v>
      </c>
      <c r="M1119" s="28">
        <v>509</v>
      </c>
      <c r="N1119" s="7" t="s">
        <v>284</v>
      </c>
      <c r="O1119" s="29" t="s">
        <v>245</v>
      </c>
      <c r="P1119" s="29" t="s">
        <v>245</v>
      </c>
      <c r="Q1119" s="29" t="s">
        <v>245</v>
      </c>
      <c r="R1119" s="39">
        <v>43110</v>
      </c>
      <c r="S1119" s="31" t="s">
        <v>246</v>
      </c>
      <c r="T1119" s="32">
        <v>2017</v>
      </c>
      <c r="U1119" s="40">
        <v>43100</v>
      </c>
      <c r="V1119" s="32"/>
    </row>
    <row r="1120" spans="1:22" ht="19.5" customHeight="1" x14ac:dyDescent="0.3">
      <c r="A1120" s="34">
        <v>2017</v>
      </c>
      <c r="B1120" s="35">
        <v>43009</v>
      </c>
      <c r="C1120" s="34">
        <v>5000</v>
      </c>
      <c r="D1120" s="7" t="s">
        <v>212</v>
      </c>
      <c r="E1120" s="6">
        <v>90736</v>
      </c>
      <c r="F1120" s="6">
        <v>15637.38</v>
      </c>
      <c r="G1120" s="36">
        <v>15637.38</v>
      </c>
      <c r="H1120" s="34">
        <v>5900</v>
      </c>
      <c r="I1120" s="7" t="s">
        <v>212</v>
      </c>
      <c r="J1120" s="6">
        <v>15637.38</v>
      </c>
      <c r="K1120" s="6">
        <v>15637.38</v>
      </c>
      <c r="L1120" s="6">
        <v>15637.38</v>
      </c>
      <c r="M1120" s="37">
        <v>510</v>
      </c>
      <c r="N1120" s="7" t="s">
        <v>284</v>
      </c>
      <c r="O1120" s="29" t="s">
        <v>245</v>
      </c>
      <c r="P1120" s="29" t="s">
        <v>245</v>
      </c>
      <c r="Q1120" s="29" t="s">
        <v>245</v>
      </c>
      <c r="R1120" s="39">
        <v>43110</v>
      </c>
      <c r="S1120" s="31" t="s">
        <v>246</v>
      </c>
      <c r="T1120" s="32">
        <v>2017</v>
      </c>
      <c r="U1120" s="40">
        <v>43100</v>
      </c>
      <c r="V1120" s="32"/>
    </row>
    <row r="1121" spans="1:22" ht="19.5" customHeight="1" x14ac:dyDescent="0.3">
      <c r="A1121" s="34">
        <v>2017</v>
      </c>
      <c r="B1121" s="35">
        <v>43009</v>
      </c>
      <c r="C1121" s="34">
        <v>5000</v>
      </c>
      <c r="D1121" s="7" t="s">
        <v>213</v>
      </c>
      <c r="E1121" s="6">
        <v>8000</v>
      </c>
      <c r="F1121" s="6">
        <v>0</v>
      </c>
      <c r="G1121" s="36">
        <v>0</v>
      </c>
      <c r="H1121" s="34">
        <v>5900</v>
      </c>
      <c r="I1121" s="7" t="s">
        <v>213</v>
      </c>
      <c r="J1121" s="6">
        <v>0</v>
      </c>
      <c r="K1121" s="6">
        <v>0</v>
      </c>
      <c r="L1121" s="6">
        <v>0</v>
      </c>
      <c r="M1121" s="28">
        <v>511</v>
      </c>
      <c r="N1121" s="7" t="s">
        <v>284</v>
      </c>
      <c r="O1121" s="29" t="s">
        <v>245</v>
      </c>
      <c r="P1121" s="29" t="s">
        <v>245</v>
      </c>
      <c r="Q1121" s="29" t="s">
        <v>245</v>
      </c>
      <c r="R1121" s="39">
        <v>43110</v>
      </c>
      <c r="S1121" s="31" t="s">
        <v>246</v>
      </c>
      <c r="T1121" s="32">
        <v>2017</v>
      </c>
      <c r="U1121" s="40">
        <v>43100</v>
      </c>
      <c r="V1121" s="32"/>
    </row>
    <row r="1122" spans="1:22" ht="19.5" customHeight="1" x14ac:dyDescent="0.3">
      <c r="A1122" s="34">
        <v>2017</v>
      </c>
      <c r="B1122" s="35">
        <v>43009</v>
      </c>
      <c r="C1122" s="34">
        <v>6000</v>
      </c>
      <c r="D1122" s="7" t="s">
        <v>214</v>
      </c>
      <c r="E1122" s="6">
        <v>0</v>
      </c>
      <c r="F1122" s="6">
        <v>60195313.509999998</v>
      </c>
      <c r="G1122" s="36">
        <v>60195313.509999998</v>
      </c>
      <c r="H1122" s="34">
        <v>6200</v>
      </c>
      <c r="I1122" s="7" t="s">
        <v>214</v>
      </c>
      <c r="J1122" s="6">
        <v>60195313.509999998</v>
      </c>
      <c r="K1122" s="6">
        <v>60195313.509999998</v>
      </c>
      <c r="L1122" s="6">
        <v>60195313.509999998</v>
      </c>
      <c r="M1122" s="37">
        <v>512</v>
      </c>
      <c r="N1122" s="7" t="s">
        <v>289</v>
      </c>
      <c r="O1122" s="29" t="s">
        <v>245</v>
      </c>
      <c r="P1122" s="29" t="s">
        <v>245</v>
      </c>
      <c r="Q1122" s="29" t="s">
        <v>245</v>
      </c>
      <c r="R1122" s="39">
        <v>43110</v>
      </c>
      <c r="S1122" s="31" t="s">
        <v>246</v>
      </c>
      <c r="T1122" s="32">
        <v>2017</v>
      </c>
      <c r="U1122" s="40">
        <v>43100</v>
      </c>
      <c r="V1122" s="32"/>
    </row>
    <row r="1123" spans="1:22" ht="19.5" customHeight="1" x14ac:dyDescent="0.3">
      <c r="A1123" s="34">
        <v>2017</v>
      </c>
      <c r="B1123" s="35">
        <v>43009</v>
      </c>
      <c r="C1123" s="34">
        <v>6000</v>
      </c>
      <c r="D1123" s="7" t="s">
        <v>235</v>
      </c>
      <c r="E1123" s="6">
        <v>1415000</v>
      </c>
      <c r="F1123" s="6">
        <v>247648.84</v>
      </c>
      <c r="G1123" s="36">
        <v>247648.84</v>
      </c>
      <c r="H1123" s="34">
        <v>6200</v>
      </c>
      <c r="I1123" s="7" t="s">
        <v>235</v>
      </c>
      <c r="J1123" s="6">
        <v>247648.84</v>
      </c>
      <c r="K1123" s="6">
        <v>247648.84</v>
      </c>
      <c r="L1123" s="6">
        <v>247648.84</v>
      </c>
      <c r="M1123" s="28">
        <v>513</v>
      </c>
      <c r="N1123" s="7" t="s">
        <v>289</v>
      </c>
      <c r="O1123" s="29" t="s">
        <v>245</v>
      </c>
      <c r="P1123" s="29" t="s">
        <v>245</v>
      </c>
      <c r="Q1123" s="29" t="s">
        <v>245</v>
      </c>
      <c r="R1123" s="39">
        <v>43110</v>
      </c>
      <c r="S1123" s="31" t="s">
        <v>246</v>
      </c>
      <c r="T1123" s="32">
        <v>2017</v>
      </c>
      <c r="U1123" s="40">
        <v>43100</v>
      </c>
      <c r="V1123" s="32"/>
    </row>
    <row r="1124" spans="1:22" ht="19.5" customHeight="1" x14ac:dyDescent="0.3">
      <c r="A1124" s="34">
        <v>2017</v>
      </c>
      <c r="B1124" s="35">
        <v>43009</v>
      </c>
      <c r="C1124" s="34">
        <v>6000</v>
      </c>
      <c r="D1124" s="7" t="s">
        <v>215</v>
      </c>
      <c r="E1124" s="6">
        <v>0</v>
      </c>
      <c r="F1124" s="6">
        <v>4395433.43</v>
      </c>
      <c r="G1124" s="36">
        <v>4395433.43</v>
      </c>
      <c r="H1124" s="34">
        <v>6200</v>
      </c>
      <c r="I1124" s="7" t="s">
        <v>215</v>
      </c>
      <c r="J1124" s="6">
        <v>4395433.43</v>
      </c>
      <c r="K1124" s="6">
        <v>4395433.43</v>
      </c>
      <c r="L1124" s="6">
        <v>4395433.43</v>
      </c>
      <c r="M1124" s="37">
        <v>514</v>
      </c>
      <c r="N1124" s="7" t="s">
        <v>289</v>
      </c>
      <c r="O1124" s="29" t="s">
        <v>245</v>
      </c>
      <c r="P1124" s="29" t="s">
        <v>245</v>
      </c>
      <c r="Q1124" s="29" t="s">
        <v>245</v>
      </c>
      <c r="R1124" s="39">
        <v>43110</v>
      </c>
      <c r="S1124" s="31" t="s">
        <v>246</v>
      </c>
      <c r="T1124" s="32">
        <v>2017</v>
      </c>
      <c r="U1124" s="40">
        <v>43100</v>
      </c>
      <c r="V1124" s="32"/>
    </row>
    <row r="1125" spans="1:22" ht="19.5" customHeight="1" x14ac:dyDescent="0.3">
      <c r="A1125" s="34">
        <v>2017</v>
      </c>
      <c r="B1125" s="35">
        <v>43009</v>
      </c>
      <c r="C1125" s="34">
        <v>7000</v>
      </c>
      <c r="D1125" s="7" t="s">
        <v>252</v>
      </c>
      <c r="E1125" s="6">
        <v>6004111</v>
      </c>
      <c r="F1125" s="6">
        <v>132394360.26000001</v>
      </c>
      <c r="G1125" s="36">
        <v>0</v>
      </c>
      <c r="H1125" s="34">
        <v>7900</v>
      </c>
      <c r="I1125" s="7" t="s">
        <v>252</v>
      </c>
      <c r="J1125" s="6">
        <v>0</v>
      </c>
      <c r="K1125" s="6">
        <v>0</v>
      </c>
      <c r="L1125" s="6">
        <v>0</v>
      </c>
      <c r="M1125" s="28">
        <v>515</v>
      </c>
      <c r="N1125" s="7" t="s">
        <v>290</v>
      </c>
      <c r="O1125" s="29" t="s">
        <v>245</v>
      </c>
      <c r="P1125" s="29" t="s">
        <v>245</v>
      </c>
      <c r="Q1125" s="29" t="s">
        <v>245</v>
      </c>
      <c r="R1125" s="39">
        <v>43110</v>
      </c>
      <c r="S1125" s="31" t="s">
        <v>246</v>
      </c>
      <c r="T1125" s="32">
        <v>2017</v>
      </c>
      <c r="U1125" s="40">
        <v>43100</v>
      </c>
      <c r="V1125" s="32"/>
    </row>
    <row r="1126" spans="1:22" ht="19.5" customHeight="1" x14ac:dyDescent="0.3"/>
  </sheetData>
  <mergeCells count="7">
    <mergeCell ref="A6:V6"/>
    <mergeCell ref="A2:C2"/>
    <mergeCell ref="D2:F2"/>
    <mergeCell ref="G2:I2"/>
    <mergeCell ref="A3:C3"/>
    <mergeCell ref="D3:F3"/>
    <mergeCell ref="G3:I3"/>
  </mergeCells>
  <hyperlinks>
    <hyperlink ref="O8" r:id="rId1"/>
    <hyperlink ref="O9:O610" r:id="rId2" display="https://uacm.edu.mx/organizacion/tesoreria"/>
    <hyperlink ref="P8:Q8" r:id="rId3" display="https://uacm.edu.mx/organizacion/tesoreria"/>
    <hyperlink ref="P9:Q610" r:id="rId4" display="https://uacm.edu.mx/organizacion/tesoreria"/>
    <hyperlink ref="O611" r:id="rId5"/>
    <hyperlink ref="P611" r:id="rId6"/>
    <hyperlink ref="Q611" r:id="rId7"/>
    <hyperlink ref="O612" r:id="rId8"/>
    <hyperlink ref="O613" r:id="rId9"/>
    <hyperlink ref="O614" r:id="rId10"/>
    <hyperlink ref="O615" r:id="rId11"/>
    <hyperlink ref="O616" r:id="rId12"/>
    <hyperlink ref="O617" r:id="rId13"/>
    <hyperlink ref="O618" r:id="rId14"/>
    <hyperlink ref="O619" r:id="rId15"/>
    <hyperlink ref="O620" r:id="rId16"/>
    <hyperlink ref="O621" r:id="rId17"/>
    <hyperlink ref="O622" r:id="rId18"/>
    <hyperlink ref="O623" r:id="rId19"/>
    <hyperlink ref="O624" r:id="rId20"/>
    <hyperlink ref="O625" r:id="rId21"/>
    <hyperlink ref="O626" r:id="rId22"/>
    <hyperlink ref="O627" r:id="rId23"/>
    <hyperlink ref="O628" r:id="rId24"/>
    <hyperlink ref="O629" r:id="rId25"/>
    <hyperlink ref="O630" r:id="rId26"/>
    <hyperlink ref="O631" r:id="rId27"/>
    <hyperlink ref="O632" r:id="rId28"/>
    <hyperlink ref="O633" r:id="rId29"/>
    <hyperlink ref="O634" r:id="rId30"/>
    <hyperlink ref="O635" r:id="rId31"/>
    <hyperlink ref="O636" r:id="rId32"/>
    <hyperlink ref="O637" r:id="rId33"/>
    <hyperlink ref="O638" r:id="rId34"/>
    <hyperlink ref="O639" r:id="rId35"/>
    <hyperlink ref="O640" r:id="rId36"/>
    <hyperlink ref="O641" r:id="rId37"/>
    <hyperlink ref="O642" r:id="rId38"/>
    <hyperlink ref="O643" r:id="rId39"/>
    <hyperlink ref="O644" r:id="rId40"/>
    <hyperlink ref="O645" r:id="rId41"/>
    <hyperlink ref="O646" r:id="rId42"/>
    <hyperlink ref="O647" r:id="rId43"/>
    <hyperlink ref="O648" r:id="rId44"/>
    <hyperlink ref="O649" r:id="rId45"/>
    <hyperlink ref="O650" r:id="rId46"/>
    <hyperlink ref="O651" r:id="rId47"/>
    <hyperlink ref="O652" r:id="rId48"/>
    <hyperlink ref="O653" r:id="rId49"/>
    <hyperlink ref="O654" r:id="rId50"/>
    <hyperlink ref="O655" r:id="rId51"/>
    <hyperlink ref="O656" r:id="rId52"/>
    <hyperlink ref="O657" r:id="rId53"/>
    <hyperlink ref="O658" r:id="rId54"/>
    <hyperlink ref="O659" r:id="rId55"/>
    <hyperlink ref="O660" r:id="rId56"/>
    <hyperlink ref="O661" r:id="rId57"/>
    <hyperlink ref="O662" r:id="rId58"/>
    <hyperlink ref="O663" r:id="rId59"/>
    <hyperlink ref="O664" r:id="rId60"/>
    <hyperlink ref="O665" r:id="rId61"/>
    <hyperlink ref="O666" r:id="rId62"/>
    <hyperlink ref="O667" r:id="rId63"/>
    <hyperlink ref="O668" r:id="rId64"/>
    <hyperlink ref="O669" r:id="rId65"/>
    <hyperlink ref="O670" r:id="rId66"/>
    <hyperlink ref="O671" r:id="rId67"/>
    <hyperlink ref="O672" r:id="rId68"/>
    <hyperlink ref="O673" r:id="rId69"/>
    <hyperlink ref="O674" r:id="rId70"/>
    <hyperlink ref="O675" r:id="rId71"/>
    <hyperlink ref="O676" r:id="rId72"/>
    <hyperlink ref="O677" r:id="rId73"/>
    <hyperlink ref="O678" r:id="rId74"/>
    <hyperlink ref="O679" r:id="rId75"/>
    <hyperlink ref="O680" r:id="rId76"/>
    <hyperlink ref="O681" r:id="rId77"/>
    <hyperlink ref="O682" r:id="rId78"/>
    <hyperlink ref="O683" r:id="rId79"/>
    <hyperlink ref="O684" r:id="rId80"/>
    <hyperlink ref="O685" r:id="rId81"/>
    <hyperlink ref="O686" r:id="rId82"/>
    <hyperlink ref="O687" r:id="rId83"/>
    <hyperlink ref="O688" r:id="rId84"/>
    <hyperlink ref="O689" r:id="rId85"/>
    <hyperlink ref="O690" r:id="rId86"/>
    <hyperlink ref="O691" r:id="rId87"/>
    <hyperlink ref="O692" r:id="rId88"/>
    <hyperlink ref="O693" r:id="rId89"/>
    <hyperlink ref="O694" r:id="rId90"/>
    <hyperlink ref="O695" r:id="rId91"/>
    <hyperlink ref="O696" r:id="rId92"/>
    <hyperlink ref="O697" r:id="rId93"/>
    <hyperlink ref="O698" r:id="rId94"/>
    <hyperlink ref="O699" r:id="rId95"/>
    <hyperlink ref="O700" r:id="rId96"/>
    <hyperlink ref="O701" r:id="rId97"/>
    <hyperlink ref="O702" r:id="rId98"/>
    <hyperlink ref="O703" r:id="rId99"/>
    <hyperlink ref="O704" r:id="rId100"/>
    <hyperlink ref="O705" r:id="rId101"/>
    <hyperlink ref="O706" r:id="rId102"/>
    <hyperlink ref="O707" r:id="rId103"/>
    <hyperlink ref="O708" r:id="rId104"/>
    <hyperlink ref="O709" r:id="rId105"/>
    <hyperlink ref="O710" r:id="rId106"/>
    <hyperlink ref="O711" r:id="rId107"/>
    <hyperlink ref="O712" r:id="rId108"/>
    <hyperlink ref="O713" r:id="rId109"/>
    <hyperlink ref="O714" r:id="rId110"/>
    <hyperlink ref="O715" r:id="rId111"/>
    <hyperlink ref="O716" r:id="rId112"/>
    <hyperlink ref="O717" r:id="rId113"/>
    <hyperlink ref="O718" r:id="rId114"/>
    <hyperlink ref="O719" r:id="rId115"/>
    <hyperlink ref="O720" r:id="rId116"/>
    <hyperlink ref="O721" r:id="rId117"/>
    <hyperlink ref="O722" r:id="rId118"/>
    <hyperlink ref="O723" r:id="rId119"/>
    <hyperlink ref="O724" r:id="rId120"/>
    <hyperlink ref="O725" r:id="rId121"/>
    <hyperlink ref="O726" r:id="rId122"/>
    <hyperlink ref="O727" r:id="rId123"/>
    <hyperlink ref="O728" r:id="rId124"/>
    <hyperlink ref="O729" r:id="rId125"/>
    <hyperlink ref="O730" r:id="rId126"/>
    <hyperlink ref="O731" r:id="rId127"/>
    <hyperlink ref="O732" r:id="rId128"/>
    <hyperlink ref="O733" r:id="rId129"/>
    <hyperlink ref="O734" r:id="rId130"/>
    <hyperlink ref="O735" r:id="rId131"/>
    <hyperlink ref="O736" r:id="rId132"/>
    <hyperlink ref="O737" r:id="rId133"/>
    <hyperlink ref="O738" r:id="rId134"/>
    <hyperlink ref="O739" r:id="rId135"/>
    <hyperlink ref="O740" r:id="rId136"/>
    <hyperlink ref="O741" r:id="rId137"/>
    <hyperlink ref="O742" r:id="rId138"/>
    <hyperlink ref="O743" r:id="rId139"/>
    <hyperlink ref="O744" r:id="rId140"/>
    <hyperlink ref="O745" r:id="rId141"/>
    <hyperlink ref="O746" r:id="rId142"/>
    <hyperlink ref="O747" r:id="rId143"/>
    <hyperlink ref="O748" r:id="rId144"/>
    <hyperlink ref="O749" r:id="rId145"/>
    <hyperlink ref="O750" r:id="rId146"/>
    <hyperlink ref="O751" r:id="rId147"/>
    <hyperlink ref="O752" r:id="rId148"/>
    <hyperlink ref="O753" r:id="rId149"/>
    <hyperlink ref="O754" r:id="rId150"/>
    <hyperlink ref="O755" r:id="rId151"/>
    <hyperlink ref="O756" r:id="rId152"/>
    <hyperlink ref="O757" r:id="rId153"/>
    <hyperlink ref="O758" r:id="rId154"/>
    <hyperlink ref="O759" r:id="rId155"/>
    <hyperlink ref="O760" r:id="rId156"/>
    <hyperlink ref="O761" r:id="rId157"/>
    <hyperlink ref="O762" r:id="rId158"/>
    <hyperlink ref="O763" r:id="rId159"/>
    <hyperlink ref="O764" r:id="rId160"/>
    <hyperlink ref="O765" r:id="rId161"/>
    <hyperlink ref="O766" r:id="rId162"/>
    <hyperlink ref="O767" r:id="rId163"/>
    <hyperlink ref="O768" r:id="rId164"/>
    <hyperlink ref="O769" r:id="rId165"/>
    <hyperlink ref="O770" r:id="rId166"/>
    <hyperlink ref="O771" r:id="rId167"/>
    <hyperlink ref="O772" r:id="rId168"/>
    <hyperlink ref="O773" r:id="rId169"/>
    <hyperlink ref="O774" r:id="rId170"/>
    <hyperlink ref="O775" r:id="rId171"/>
    <hyperlink ref="O776" r:id="rId172"/>
    <hyperlink ref="O777" r:id="rId173"/>
    <hyperlink ref="O778" r:id="rId174"/>
    <hyperlink ref="O779" r:id="rId175"/>
    <hyperlink ref="O780" r:id="rId176"/>
    <hyperlink ref="O781" r:id="rId177"/>
    <hyperlink ref="O782" r:id="rId178"/>
    <hyperlink ref="O783" r:id="rId179"/>
    <hyperlink ref="O784" r:id="rId180"/>
    <hyperlink ref="O785" r:id="rId181"/>
    <hyperlink ref="O786" r:id="rId182"/>
    <hyperlink ref="O787" r:id="rId183"/>
    <hyperlink ref="O788" r:id="rId184"/>
    <hyperlink ref="O789" r:id="rId185"/>
    <hyperlink ref="O790" r:id="rId186"/>
    <hyperlink ref="O791" r:id="rId187"/>
    <hyperlink ref="O792" r:id="rId188"/>
    <hyperlink ref="O793" r:id="rId189"/>
    <hyperlink ref="O794" r:id="rId190"/>
    <hyperlink ref="O795" r:id="rId191"/>
    <hyperlink ref="O796" r:id="rId192"/>
    <hyperlink ref="O797" r:id="rId193"/>
    <hyperlink ref="O798" r:id="rId194"/>
    <hyperlink ref="O799" r:id="rId195"/>
    <hyperlink ref="O800" r:id="rId196"/>
    <hyperlink ref="O801" r:id="rId197"/>
    <hyperlink ref="O802" r:id="rId198"/>
    <hyperlink ref="O803" r:id="rId199"/>
    <hyperlink ref="O804" r:id="rId200"/>
    <hyperlink ref="O805" r:id="rId201"/>
    <hyperlink ref="O806" r:id="rId202"/>
    <hyperlink ref="O807" r:id="rId203"/>
    <hyperlink ref="O808" r:id="rId204"/>
    <hyperlink ref="O809" r:id="rId205"/>
    <hyperlink ref="O810" r:id="rId206"/>
    <hyperlink ref="O811" r:id="rId207"/>
    <hyperlink ref="O812" r:id="rId208"/>
    <hyperlink ref="O813" r:id="rId209"/>
    <hyperlink ref="O814" r:id="rId210"/>
    <hyperlink ref="O815" r:id="rId211"/>
    <hyperlink ref="O816" r:id="rId212"/>
    <hyperlink ref="O817" r:id="rId213"/>
    <hyperlink ref="O818" r:id="rId214"/>
    <hyperlink ref="O819" r:id="rId215"/>
    <hyperlink ref="O820" r:id="rId216"/>
    <hyperlink ref="O821" r:id="rId217"/>
    <hyperlink ref="O822" r:id="rId218"/>
    <hyperlink ref="O823" r:id="rId219"/>
    <hyperlink ref="O824" r:id="rId220"/>
    <hyperlink ref="O825" r:id="rId221"/>
    <hyperlink ref="O826" r:id="rId222"/>
    <hyperlink ref="O827" r:id="rId223"/>
    <hyperlink ref="O828" r:id="rId224"/>
    <hyperlink ref="O829" r:id="rId225"/>
    <hyperlink ref="O830" r:id="rId226"/>
    <hyperlink ref="O831" r:id="rId227"/>
    <hyperlink ref="O832" r:id="rId228"/>
    <hyperlink ref="O833" r:id="rId229"/>
    <hyperlink ref="O834" r:id="rId230"/>
    <hyperlink ref="O835" r:id="rId231"/>
    <hyperlink ref="O836" r:id="rId232"/>
    <hyperlink ref="O837" r:id="rId233"/>
    <hyperlink ref="O838" r:id="rId234"/>
    <hyperlink ref="O839" r:id="rId235"/>
    <hyperlink ref="O840" r:id="rId236"/>
    <hyperlink ref="O841" r:id="rId237"/>
    <hyperlink ref="O842" r:id="rId238"/>
    <hyperlink ref="O843" r:id="rId239"/>
    <hyperlink ref="O844" r:id="rId240"/>
    <hyperlink ref="O845" r:id="rId241"/>
    <hyperlink ref="O846" r:id="rId242"/>
    <hyperlink ref="O847" r:id="rId243"/>
    <hyperlink ref="O848" r:id="rId244"/>
    <hyperlink ref="O849" r:id="rId245"/>
    <hyperlink ref="O850" r:id="rId246"/>
    <hyperlink ref="O851" r:id="rId247"/>
    <hyperlink ref="O852" r:id="rId248"/>
    <hyperlink ref="O853" r:id="rId249"/>
    <hyperlink ref="O854" r:id="rId250"/>
    <hyperlink ref="O855" r:id="rId251"/>
    <hyperlink ref="O856" r:id="rId252"/>
    <hyperlink ref="O857" r:id="rId253"/>
    <hyperlink ref="O858" r:id="rId254"/>
    <hyperlink ref="O859" r:id="rId255"/>
    <hyperlink ref="O860" r:id="rId256"/>
    <hyperlink ref="O861" r:id="rId257"/>
    <hyperlink ref="O862" r:id="rId258"/>
    <hyperlink ref="O863" r:id="rId259"/>
    <hyperlink ref="O864" r:id="rId260"/>
    <hyperlink ref="O865" r:id="rId261"/>
    <hyperlink ref="O866" r:id="rId262"/>
    <hyperlink ref="O867" r:id="rId263"/>
    <hyperlink ref="O868" r:id="rId264"/>
    <hyperlink ref="O869" r:id="rId265"/>
    <hyperlink ref="O870" r:id="rId266"/>
    <hyperlink ref="O871" r:id="rId267"/>
    <hyperlink ref="O872" r:id="rId268"/>
    <hyperlink ref="O873" r:id="rId269"/>
    <hyperlink ref="O874" r:id="rId270"/>
    <hyperlink ref="O875" r:id="rId271"/>
    <hyperlink ref="O876" r:id="rId272"/>
    <hyperlink ref="O877" r:id="rId273"/>
    <hyperlink ref="O878" r:id="rId274"/>
    <hyperlink ref="O879" r:id="rId275"/>
    <hyperlink ref="O880" r:id="rId276"/>
    <hyperlink ref="O881" r:id="rId277"/>
    <hyperlink ref="O882" r:id="rId278"/>
    <hyperlink ref="O883" r:id="rId279"/>
    <hyperlink ref="O884" r:id="rId280"/>
    <hyperlink ref="O885" r:id="rId281"/>
    <hyperlink ref="O886" r:id="rId282"/>
    <hyperlink ref="O887" r:id="rId283"/>
    <hyperlink ref="O888" r:id="rId284"/>
    <hyperlink ref="O889" r:id="rId285"/>
    <hyperlink ref="O890" r:id="rId286"/>
    <hyperlink ref="O891" r:id="rId287"/>
    <hyperlink ref="O892" r:id="rId288"/>
    <hyperlink ref="O893" r:id="rId289"/>
    <hyperlink ref="O894" r:id="rId290"/>
    <hyperlink ref="O895" r:id="rId291"/>
    <hyperlink ref="O896" r:id="rId292"/>
    <hyperlink ref="O897" r:id="rId293"/>
    <hyperlink ref="O898" r:id="rId294"/>
    <hyperlink ref="O899" r:id="rId295"/>
    <hyperlink ref="O900" r:id="rId296"/>
    <hyperlink ref="O901" r:id="rId297"/>
    <hyperlink ref="O902" r:id="rId298"/>
    <hyperlink ref="O903" r:id="rId299"/>
    <hyperlink ref="O904" r:id="rId300"/>
    <hyperlink ref="O905" r:id="rId301"/>
    <hyperlink ref="O906" r:id="rId302"/>
    <hyperlink ref="O907" r:id="rId303"/>
    <hyperlink ref="O908" r:id="rId304"/>
    <hyperlink ref="O909" r:id="rId305"/>
    <hyperlink ref="O910" r:id="rId306"/>
    <hyperlink ref="O911" r:id="rId307"/>
    <hyperlink ref="O912" r:id="rId308"/>
    <hyperlink ref="O913" r:id="rId309"/>
    <hyperlink ref="O914" r:id="rId310"/>
    <hyperlink ref="O915" r:id="rId311"/>
    <hyperlink ref="O916" r:id="rId312"/>
    <hyperlink ref="O917" r:id="rId313"/>
    <hyperlink ref="O918" r:id="rId314"/>
    <hyperlink ref="O919" r:id="rId315"/>
    <hyperlink ref="O920" r:id="rId316"/>
    <hyperlink ref="O921" r:id="rId317"/>
    <hyperlink ref="O922" r:id="rId318"/>
    <hyperlink ref="O923" r:id="rId319"/>
    <hyperlink ref="O924" r:id="rId320"/>
    <hyperlink ref="O925" r:id="rId321"/>
    <hyperlink ref="O926" r:id="rId322"/>
    <hyperlink ref="O927" r:id="rId323"/>
    <hyperlink ref="O928" r:id="rId324"/>
    <hyperlink ref="O929" r:id="rId325"/>
    <hyperlink ref="O930" r:id="rId326"/>
    <hyperlink ref="O931" r:id="rId327"/>
    <hyperlink ref="O932" r:id="rId328"/>
    <hyperlink ref="O933" r:id="rId329"/>
    <hyperlink ref="O934" r:id="rId330"/>
    <hyperlink ref="O935" r:id="rId331"/>
    <hyperlink ref="O936" r:id="rId332"/>
    <hyperlink ref="O937" r:id="rId333"/>
    <hyperlink ref="O938" r:id="rId334"/>
    <hyperlink ref="O939" r:id="rId335"/>
    <hyperlink ref="O940" r:id="rId336"/>
    <hyperlink ref="O941" r:id="rId337"/>
    <hyperlink ref="O942" r:id="rId338"/>
    <hyperlink ref="O943" r:id="rId339"/>
    <hyperlink ref="O944" r:id="rId340"/>
    <hyperlink ref="O945" r:id="rId341"/>
    <hyperlink ref="O946" r:id="rId342"/>
    <hyperlink ref="O947" r:id="rId343"/>
    <hyperlink ref="O948" r:id="rId344"/>
    <hyperlink ref="O949" r:id="rId345"/>
    <hyperlink ref="O950" r:id="rId346"/>
    <hyperlink ref="O951" r:id="rId347"/>
    <hyperlink ref="O952" r:id="rId348"/>
    <hyperlink ref="O953" r:id="rId349"/>
    <hyperlink ref="O954" r:id="rId350"/>
    <hyperlink ref="O955" r:id="rId351"/>
    <hyperlink ref="O956" r:id="rId352"/>
    <hyperlink ref="O957" r:id="rId353"/>
    <hyperlink ref="O958" r:id="rId354"/>
    <hyperlink ref="O959" r:id="rId355"/>
    <hyperlink ref="O960" r:id="rId356"/>
    <hyperlink ref="O961" r:id="rId357"/>
    <hyperlink ref="O962" r:id="rId358"/>
    <hyperlink ref="O963" r:id="rId359"/>
    <hyperlink ref="O964" r:id="rId360"/>
    <hyperlink ref="O965" r:id="rId361"/>
    <hyperlink ref="O966" r:id="rId362"/>
    <hyperlink ref="O967" r:id="rId363"/>
    <hyperlink ref="O968" r:id="rId364"/>
    <hyperlink ref="O969" r:id="rId365"/>
    <hyperlink ref="O970" r:id="rId366"/>
    <hyperlink ref="O971" r:id="rId367"/>
    <hyperlink ref="O972" r:id="rId368"/>
    <hyperlink ref="O973" r:id="rId369"/>
    <hyperlink ref="O974" r:id="rId370"/>
    <hyperlink ref="O975" r:id="rId371"/>
    <hyperlink ref="O976" r:id="rId372"/>
    <hyperlink ref="O977" r:id="rId373"/>
    <hyperlink ref="O978" r:id="rId374"/>
    <hyperlink ref="O979" r:id="rId375"/>
    <hyperlink ref="O980" r:id="rId376"/>
    <hyperlink ref="O981" r:id="rId377"/>
    <hyperlink ref="O982" r:id="rId378"/>
    <hyperlink ref="O983" r:id="rId379"/>
    <hyperlink ref="O984" r:id="rId380"/>
    <hyperlink ref="O985" r:id="rId381"/>
    <hyperlink ref="O986" r:id="rId382"/>
    <hyperlink ref="O987" r:id="rId383"/>
    <hyperlink ref="O988" r:id="rId384"/>
    <hyperlink ref="O989" r:id="rId385"/>
    <hyperlink ref="O990" r:id="rId386"/>
    <hyperlink ref="O991" r:id="rId387"/>
    <hyperlink ref="O992" r:id="rId388"/>
    <hyperlink ref="O993" r:id="rId389"/>
    <hyperlink ref="O994" r:id="rId390"/>
    <hyperlink ref="O995" r:id="rId391"/>
    <hyperlink ref="O996" r:id="rId392"/>
    <hyperlink ref="O997" r:id="rId393"/>
    <hyperlink ref="O998" r:id="rId394"/>
    <hyperlink ref="O999" r:id="rId395"/>
    <hyperlink ref="O1000" r:id="rId396"/>
    <hyperlink ref="O1001" r:id="rId397"/>
    <hyperlink ref="O1002" r:id="rId398"/>
    <hyperlink ref="O1003" r:id="rId399"/>
    <hyperlink ref="O1004" r:id="rId400"/>
    <hyperlink ref="O1005" r:id="rId401"/>
    <hyperlink ref="O1006" r:id="rId402"/>
    <hyperlink ref="O1007" r:id="rId403"/>
    <hyperlink ref="O1008" r:id="rId404"/>
    <hyperlink ref="O1009" r:id="rId405"/>
    <hyperlink ref="O1010" r:id="rId406"/>
    <hyperlink ref="O1011" r:id="rId407"/>
    <hyperlink ref="O1012" r:id="rId408"/>
    <hyperlink ref="O1013" r:id="rId409"/>
    <hyperlink ref="O1014" r:id="rId410"/>
    <hyperlink ref="O1015" r:id="rId411"/>
    <hyperlink ref="O1016" r:id="rId412"/>
    <hyperlink ref="O1017" r:id="rId413"/>
    <hyperlink ref="O1018" r:id="rId414"/>
    <hyperlink ref="O1019" r:id="rId415"/>
    <hyperlink ref="O1020" r:id="rId416"/>
    <hyperlink ref="O1021" r:id="rId417"/>
    <hyperlink ref="O1022" r:id="rId418"/>
    <hyperlink ref="O1023" r:id="rId419"/>
    <hyperlink ref="O1024" r:id="rId420"/>
    <hyperlink ref="O1025" r:id="rId421"/>
    <hyperlink ref="O1026" r:id="rId422"/>
    <hyperlink ref="O1027" r:id="rId423"/>
    <hyperlink ref="O1028" r:id="rId424"/>
    <hyperlink ref="O1029" r:id="rId425"/>
    <hyperlink ref="O1030" r:id="rId426"/>
    <hyperlink ref="O1031" r:id="rId427"/>
    <hyperlink ref="O1032" r:id="rId428"/>
    <hyperlink ref="O1033" r:id="rId429"/>
    <hyperlink ref="O1034" r:id="rId430"/>
    <hyperlink ref="O1035" r:id="rId431"/>
    <hyperlink ref="O1036" r:id="rId432"/>
    <hyperlink ref="O1037" r:id="rId433"/>
    <hyperlink ref="O1038" r:id="rId434"/>
    <hyperlink ref="O1039" r:id="rId435"/>
    <hyperlink ref="O1040" r:id="rId436"/>
    <hyperlink ref="O1041" r:id="rId437"/>
    <hyperlink ref="O1042" r:id="rId438"/>
    <hyperlink ref="O1043" r:id="rId439"/>
    <hyperlink ref="O1044" r:id="rId440"/>
    <hyperlink ref="O1045" r:id="rId441"/>
    <hyperlink ref="O1046" r:id="rId442"/>
    <hyperlink ref="O1047" r:id="rId443"/>
    <hyperlink ref="O1048" r:id="rId444"/>
    <hyperlink ref="O1049" r:id="rId445"/>
    <hyperlink ref="O1050" r:id="rId446"/>
    <hyperlink ref="O1051" r:id="rId447"/>
    <hyperlink ref="O1052" r:id="rId448"/>
    <hyperlink ref="O1053" r:id="rId449"/>
    <hyperlink ref="O1054" r:id="rId450"/>
    <hyperlink ref="O1055" r:id="rId451"/>
    <hyperlink ref="O1056" r:id="rId452"/>
    <hyperlink ref="O1057" r:id="rId453"/>
    <hyperlink ref="O1058" r:id="rId454"/>
    <hyperlink ref="O1059" r:id="rId455"/>
    <hyperlink ref="O1060" r:id="rId456"/>
    <hyperlink ref="O1061" r:id="rId457"/>
    <hyperlink ref="O1062" r:id="rId458"/>
    <hyperlink ref="O1063" r:id="rId459"/>
    <hyperlink ref="O1064" r:id="rId460"/>
    <hyperlink ref="O1065" r:id="rId461"/>
    <hyperlink ref="O1066" r:id="rId462"/>
    <hyperlink ref="O1067" r:id="rId463"/>
    <hyperlink ref="O1068" r:id="rId464"/>
    <hyperlink ref="O1069" r:id="rId465"/>
    <hyperlink ref="O1070" r:id="rId466"/>
    <hyperlink ref="O1071" r:id="rId467"/>
    <hyperlink ref="O1072" r:id="rId468"/>
    <hyperlink ref="O1073" r:id="rId469"/>
    <hyperlink ref="O1074" r:id="rId470"/>
    <hyperlink ref="O1075" r:id="rId471"/>
    <hyperlink ref="O1076" r:id="rId472"/>
    <hyperlink ref="O1077" r:id="rId473"/>
    <hyperlink ref="O1078" r:id="rId474"/>
    <hyperlink ref="O1079" r:id="rId475"/>
    <hyperlink ref="O1080" r:id="rId476"/>
    <hyperlink ref="O1081" r:id="rId477"/>
    <hyperlink ref="O1082" r:id="rId478"/>
    <hyperlink ref="O1083" r:id="rId479"/>
    <hyperlink ref="O1084" r:id="rId480"/>
    <hyperlink ref="O1085" r:id="rId481"/>
    <hyperlink ref="O1086" r:id="rId482"/>
    <hyperlink ref="O1087" r:id="rId483"/>
    <hyperlink ref="O1088" r:id="rId484"/>
    <hyperlink ref="O1089" r:id="rId485"/>
    <hyperlink ref="O1090" r:id="rId486"/>
    <hyperlink ref="O1091" r:id="rId487"/>
    <hyperlink ref="O1092" r:id="rId488"/>
    <hyperlink ref="O1093" r:id="rId489"/>
    <hyperlink ref="O1094" r:id="rId490"/>
    <hyperlink ref="O1095" r:id="rId491"/>
    <hyperlink ref="O1096" r:id="rId492"/>
    <hyperlink ref="O1097" r:id="rId493"/>
    <hyperlink ref="O1098" r:id="rId494"/>
    <hyperlink ref="O1099" r:id="rId495"/>
    <hyperlink ref="O1100" r:id="rId496"/>
    <hyperlink ref="O1101" r:id="rId497"/>
    <hyperlink ref="O1102" r:id="rId498"/>
    <hyperlink ref="O1103" r:id="rId499"/>
    <hyperlink ref="O1104" r:id="rId500"/>
    <hyperlink ref="O1105" r:id="rId501"/>
    <hyperlink ref="O1106" r:id="rId502"/>
    <hyperlink ref="O1107" r:id="rId503"/>
    <hyperlink ref="O1108" r:id="rId504"/>
    <hyperlink ref="O1109" r:id="rId505"/>
    <hyperlink ref="O1110" r:id="rId506"/>
    <hyperlink ref="O1111" r:id="rId507"/>
    <hyperlink ref="O1112" r:id="rId508"/>
    <hyperlink ref="O1113" r:id="rId509"/>
    <hyperlink ref="O1114" r:id="rId510"/>
    <hyperlink ref="O1115" r:id="rId511"/>
    <hyperlink ref="O1116" r:id="rId512"/>
    <hyperlink ref="O1117" r:id="rId513"/>
    <hyperlink ref="O1118" r:id="rId514"/>
    <hyperlink ref="O1119" r:id="rId515"/>
    <hyperlink ref="O1120" r:id="rId516"/>
    <hyperlink ref="O1121" r:id="rId517"/>
    <hyperlink ref="O1122" r:id="rId518"/>
    <hyperlink ref="O1123" r:id="rId519"/>
    <hyperlink ref="O1124" r:id="rId520"/>
    <hyperlink ref="O1125" r:id="rId521"/>
    <hyperlink ref="P612" r:id="rId522"/>
    <hyperlink ref="P613" r:id="rId523"/>
    <hyperlink ref="P614" r:id="rId524"/>
    <hyperlink ref="P615" r:id="rId525"/>
    <hyperlink ref="P616" r:id="rId526"/>
    <hyperlink ref="P617" r:id="rId527"/>
    <hyperlink ref="P618" r:id="rId528"/>
    <hyperlink ref="P619" r:id="rId529"/>
    <hyperlink ref="P620" r:id="rId530"/>
    <hyperlink ref="P621" r:id="rId531"/>
    <hyperlink ref="P622" r:id="rId532"/>
    <hyperlink ref="P623" r:id="rId533"/>
    <hyperlink ref="P624" r:id="rId534"/>
    <hyperlink ref="P625" r:id="rId535"/>
    <hyperlink ref="P626" r:id="rId536"/>
    <hyperlink ref="P627" r:id="rId537"/>
    <hyperlink ref="P628" r:id="rId538"/>
    <hyperlink ref="P629" r:id="rId539"/>
    <hyperlink ref="P630" r:id="rId540"/>
    <hyperlink ref="P631" r:id="rId541"/>
    <hyperlink ref="P632" r:id="rId542"/>
    <hyperlink ref="P633" r:id="rId543"/>
    <hyperlink ref="P634" r:id="rId544"/>
    <hyperlink ref="P635" r:id="rId545"/>
    <hyperlink ref="P636" r:id="rId546"/>
    <hyperlink ref="P637" r:id="rId547"/>
    <hyperlink ref="P638" r:id="rId548"/>
    <hyperlink ref="P639" r:id="rId549"/>
    <hyperlink ref="P640" r:id="rId550"/>
    <hyperlink ref="P641" r:id="rId551"/>
    <hyperlink ref="P642" r:id="rId552"/>
    <hyperlink ref="P643" r:id="rId553"/>
    <hyperlink ref="P644" r:id="rId554"/>
    <hyperlink ref="P645" r:id="rId555"/>
    <hyperlink ref="P646" r:id="rId556"/>
    <hyperlink ref="P647" r:id="rId557"/>
    <hyperlink ref="P648" r:id="rId558"/>
    <hyperlink ref="P649" r:id="rId559"/>
    <hyperlink ref="P650" r:id="rId560"/>
    <hyperlink ref="P651" r:id="rId561"/>
    <hyperlink ref="P652" r:id="rId562"/>
    <hyperlink ref="P653" r:id="rId563"/>
    <hyperlink ref="P654" r:id="rId564"/>
    <hyperlink ref="P655" r:id="rId565"/>
    <hyperlink ref="P656" r:id="rId566"/>
    <hyperlink ref="P657" r:id="rId567"/>
    <hyperlink ref="P658" r:id="rId568"/>
    <hyperlink ref="P659" r:id="rId569"/>
    <hyperlink ref="P660" r:id="rId570"/>
    <hyperlink ref="P661" r:id="rId571"/>
    <hyperlink ref="P662" r:id="rId572"/>
    <hyperlink ref="P663" r:id="rId573"/>
    <hyperlink ref="P664" r:id="rId574"/>
    <hyperlink ref="P665" r:id="rId575"/>
    <hyperlink ref="P666" r:id="rId576"/>
    <hyperlink ref="P667" r:id="rId577"/>
    <hyperlink ref="P668" r:id="rId578"/>
    <hyperlink ref="P669" r:id="rId579"/>
    <hyperlink ref="P670" r:id="rId580"/>
    <hyperlink ref="P671" r:id="rId581"/>
    <hyperlink ref="P672" r:id="rId582"/>
    <hyperlink ref="P673" r:id="rId583"/>
    <hyperlink ref="P674" r:id="rId584"/>
    <hyperlink ref="P675" r:id="rId585"/>
    <hyperlink ref="P676" r:id="rId586"/>
    <hyperlink ref="P677" r:id="rId587"/>
    <hyperlink ref="P678" r:id="rId588"/>
    <hyperlink ref="P679" r:id="rId589"/>
    <hyperlink ref="P680" r:id="rId590"/>
    <hyperlink ref="P681" r:id="rId591"/>
    <hyperlink ref="P682" r:id="rId592"/>
    <hyperlink ref="P683" r:id="rId593"/>
    <hyperlink ref="P684" r:id="rId594"/>
    <hyperlink ref="P685" r:id="rId595"/>
    <hyperlink ref="P686" r:id="rId596"/>
    <hyperlink ref="P687" r:id="rId597"/>
    <hyperlink ref="P688" r:id="rId598"/>
    <hyperlink ref="P689" r:id="rId599"/>
    <hyperlink ref="P690" r:id="rId600"/>
    <hyperlink ref="P691" r:id="rId601"/>
    <hyperlink ref="P692" r:id="rId602"/>
    <hyperlink ref="P693" r:id="rId603"/>
    <hyperlink ref="P694" r:id="rId604"/>
    <hyperlink ref="P695" r:id="rId605"/>
    <hyperlink ref="P696" r:id="rId606"/>
    <hyperlink ref="P697" r:id="rId607"/>
    <hyperlink ref="P698" r:id="rId608"/>
    <hyperlink ref="P699" r:id="rId609"/>
    <hyperlink ref="P700" r:id="rId610"/>
    <hyperlink ref="P701" r:id="rId611"/>
    <hyperlink ref="P702" r:id="rId612"/>
    <hyperlink ref="P703" r:id="rId613"/>
    <hyperlink ref="P704" r:id="rId614"/>
    <hyperlink ref="P705" r:id="rId615"/>
    <hyperlink ref="P706" r:id="rId616"/>
    <hyperlink ref="P707" r:id="rId617"/>
    <hyperlink ref="P708" r:id="rId618"/>
    <hyperlink ref="P709" r:id="rId619"/>
    <hyperlink ref="P710" r:id="rId620"/>
    <hyperlink ref="P711" r:id="rId621"/>
    <hyperlink ref="P712" r:id="rId622"/>
    <hyperlink ref="P713" r:id="rId623"/>
    <hyperlink ref="P714" r:id="rId624"/>
    <hyperlink ref="P715" r:id="rId625"/>
    <hyperlink ref="P716" r:id="rId626"/>
    <hyperlink ref="P717" r:id="rId627"/>
    <hyperlink ref="P718" r:id="rId628"/>
    <hyperlink ref="P719" r:id="rId629"/>
    <hyperlink ref="P720" r:id="rId630"/>
    <hyperlink ref="P721" r:id="rId631"/>
    <hyperlink ref="P722" r:id="rId632"/>
    <hyperlink ref="P723" r:id="rId633"/>
    <hyperlink ref="P724" r:id="rId634"/>
    <hyperlink ref="P725" r:id="rId635"/>
    <hyperlink ref="P726" r:id="rId636"/>
    <hyperlink ref="P727" r:id="rId637"/>
    <hyperlink ref="P728" r:id="rId638"/>
    <hyperlink ref="P729" r:id="rId639"/>
    <hyperlink ref="P730" r:id="rId640"/>
    <hyperlink ref="P731" r:id="rId641"/>
    <hyperlink ref="P732" r:id="rId642"/>
    <hyperlink ref="P733" r:id="rId643"/>
    <hyperlink ref="P734" r:id="rId644"/>
    <hyperlink ref="P735" r:id="rId645"/>
    <hyperlink ref="P736" r:id="rId646"/>
    <hyperlink ref="P737" r:id="rId647"/>
    <hyperlink ref="P738" r:id="rId648"/>
    <hyperlink ref="P739" r:id="rId649"/>
    <hyperlink ref="P740" r:id="rId650"/>
    <hyperlink ref="P741" r:id="rId651"/>
    <hyperlink ref="P742" r:id="rId652"/>
    <hyperlink ref="P743" r:id="rId653"/>
    <hyperlink ref="P744" r:id="rId654"/>
    <hyperlink ref="P745" r:id="rId655"/>
    <hyperlink ref="P746" r:id="rId656"/>
    <hyperlink ref="P747" r:id="rId657"/>
    <hyperlink ref="P748" r:id="rId658"/>
    <hyperlink ref="P749" r:id="rId659"/>
    <hyperlink ref="P750" r:id="rId660"/>
    <hyperlink ref="P751" r:id="rId661"/>
    <hyperlink ref="P752" r:id="rId662"/>
    <hyperlink ref="P753" r:id="rId663"/>
    <hyperlink ref="P754" r:id="rId664"/>
    <hyperlink ref="P755" r:id="rId665"/>
    <hyperlink ref="P756" r:id="rId666"/>
    <hyperlink ref="P757" r:id="rId667"/>
    <hyperlink ref="P758" r:id="rId668"/>
    <hyperlink ref="P759" r:id="rId669"/>
    <hyperlink ref="P760" r:id="rId670"/>
    <hyperlink ref="P761" r:id="rId671"/>
    <hyperlink ref="P762" r:id="rId672"/>
    <hyperlink ref="P763" r:id="rId673"/>
    <hyperlink ref="P764" r:id="rId674"/>
    <hyperlink ref="P765" r:id="rId675"/>
    <hyperlink ref="P766" r:id="rId676"/>
    <hyperlink ref="P767" r:id="rId677"/>
    <hyperlink ref="P768" r:id="rId678"/>
    <hyperlink ref="P769" r:id="rId679"/>
    <hyperlink ref="P770" r:id="rId680"/>
    <hyperlink ref="P771" r:id="rId681"/>
    <hyperlink ref="P772" r:id="rId682"/>
    <hyperlink ref="P773" r:id="rId683"/>
    <hyperlink ref="P774" r:id="rId684"/>
    <hyperlink ref="P775" r:id="rId685"/>
    <hyperlink ref="P776" r:id="rId686"/>
    <hyperlink ref="P777" r:id="rId687"/>
    <hyperlink ref="P778" r:id="rId688"/>
    <hyperlink ref="P779" r:id="rId689"/>
    <hyperlink ref="P780" r:id="rId690"/>
    <hyperlink ref="P781" r:id="rId691"/>
    <hyperlink ref="P782" r:id="rId692"/>
    <hyperlink ref="P783" r:id="rId693"/>
    <hyperlink ref="P784" r:id="rId694"/>
    <hyperlink ref="P785" r:id="rId695"/>
    <hyperlink ref="P786" r:id="rId696"/>
    <hyperlink ref="P787" r:id="rId697"/>
    <hyperlink ref="P788" r:id="rId698"/>
    <hyperlink ref="P789" r:id="rId699"/>
    <hyperlink ref="P790" r:id="rId700"/>
    <hyperlink ref="P791" r:id="rId701"/>
    <hyperlink ref="P792" r:id="rId702"/>
    <hyperlink ref="P793" r:id="rId703"/>
    <hyperlink ref="P794" r:id="rId704"/>
    <hyperlink ref="P795" r:id="rId705"/>
    <hyperlink ref="P796" r:id="rId706"/>
    <hyperlink ref="P797" r:id="rId707"/>
    <hyperlink ref="P798" r:id="rId708"/>
    <hyperlink ref="P799" r:id="rId709"/>
    <hyperlink ref="P800" r:id="rId710"/>
    <hyperlink ref="P801" r:id="rId711"/>
    <hyperlink ref="P802" r:id="rId712"/>
    <hyperlink ref="P803" r:id="rId713"/>
    <hyperlink ref="P804" r:id="rId714"/>
    <hyperlink ref="P805" r:id="rId715"/>
    <hyperlink ref="P806" r:id="rId716"/>
    <hyperlink ref="P807" r:id="rId717"/>
    <hyperlink ref="P808" r:id="rId718"/>
    <hyperlink ref="P809" r:id="rId719"/>
    <hyperlink ref="P810" r:id="rId720"/>
    <hyperlink ref="P811" r:id="rId721"/>
    <hyperlink ref="P812" r:id="rId722"/>
    <hyperlink ref="P813" r:id="rId723"/>
    <hyperlink ref="P814" r:id="rId724"/>
    <hyperlink ref="P815" r:id="rId725"/>
    <hyperlink ref="P816" r:id="rId726"/>
    <hyperlink ref="P817" r:id="rId727"/>
    <hyperlink ref="P818" r:id="rId728"/>
    <hyperlink ref="P819" r:id="rId729"/>
    <hyperlink ref="P820" r:id="rId730"/>
    <hyperlink ref="P821" r:id="rId731"/>
    <hyperlink ref="P822" r:id="rId732"/>
    <hyperlink ref="P823" r:id="rId733"/>
    <hyperlink ref="P824" r:id="rId734"/>
    <hyperlink ref="P825" r:id="rId735"/>
    <hyperlink ref="P826" r:id="rId736"/>
    <hyperlink ref="P827" r:id="rId737"/>
    <hyperlink ref="P828" r:id="rId738"/>
    <hyperlink ref="P829" r:id="rId739"/>
    <hyperlink ref="P830" r:id="rId740"/>
    <hyperlink ref="P831" r:id="rId741"/>
    <hyperlink ref="P832" r:id="rId742"/>
    <hyperlink ref="P833" r:id="rId743"/>
    <hyperlink ref="P834" r:id="rId744"/>
    <hyperlink ref="P835" r:id="rId745"/>
    <hyperlink ref="P836" r:id="rId746"/>
    <hyperlink ref="P837" r:id="rId747"/>
    <hyperlink ref="P838" r:id="rId748"/>
    <hyperlink ref="P839" r:id="rId749"/>
    <hyperlink ref="P840" r:id="rId750"/>
    <hyperlink ref="P841" r:id="rId751"/>
    <hyperlink ref="P842" r:id="rId752"/>
    <hyperlink ref="P843" r:id="rId753"/>
    <hyperlink ref="P844" r:id="rId754"/>
    <hyperlink ref="P845" r:id="rId755"/>
    <hyperlink ref="P846" r:id="rId756"/>
    <hyperlink ref="P847" r:id="rId757"/>
    <hyperlink ref="P848" r:id="rId758"/>
    <hyperlink ref="P849" r:id="rId759"/>
    <hyperlink ref="P850" r:id="rId760"/>
    <hyperlink ref="P851" r:id="rId761"/>
    <hyperlink ref="P852" r:id="rId762"/>
    <hyperlink ref="P853" r:id="rId763"/>
    <hyperlink ref="P854" r:id="rId764"/>
    <hyperlink ref="P855" r:id="rId765"/>
    <hyperlink ref="P856" r:id="rId766"/>
    <hyperlink ref="P857" r:id="rId767"/>
    <hyperlink ref="P858" r:id="rId768"/>
    <hyperlink ref="P859" r:id="rId769"/>
    <hyperlink ref="P860" r:id="rId770"/>
    <hyperlink ref="P861" r:id="rId771"/>
    <hyperlink ref="P862" r:id="rId772"/>
    <hyperlink ref="P863" r:id="rId773"/>
    <hyperlink ref="P864" r:id="rId774"/>
    <hyperlink ref="P865" r:id="rId775"/>
    <hyperlink ref="P866" r:id="rId776"/>
    <hyperlink ref="P867" r:id="rId777"/>
    <hyperlink ref="P868" r:id="rId778"/>
    <hyperlink ref="P869" r:id="rId779"/>
    <hyperlink ref="P870" r:id="rId780"/>
    <hyperlink ref="P871" r:id="rId781"/>
    <hyperlink ref="P872" r:id="rId782"/>
    <hyperlink ref="P873" r:id="rId783"/>
    <hyperlink ref="P874" r:id="rId784"/>
    <hyperlink ref="P875" r:id="rId785"/>
    <hyperlink ref="P876" r:id="rId786"/>
    <hyperlink ref="P877" r:id="rId787"/>
    <hyperlink ref="P878" r:id="rId788"/>
    <hyperlink ref="P879" r:id="rId789"/>
    <hyperlink ref="P880" r:id="rId790"/>
    <hyperlink ref="P881" r:id="rId791"/>
    <hyperlink ref="P882" r:id="rId792"/>
    <hyperlink ref="P883" r:id="rId793"/>
    <hyperlink ref="P884" r:id="rId794"/>
    <hyperlink ref="P885" r:id="rId795"/>
    <hyperlink ref="P886" r:id="rId796"/>
    <hyperlink ref="P887" r:id="rId797"/>
    <hyperlink ref="P888" r:id="rId798"/>
    <hyperlink ref="P889" r:id="rId799"/>
    <hyperlink ref="P890" r:id="rId800"/>
    <hyperlink ref="P891" r:id="rId801"/>
    <hyperlink ref="P892" r:id="rId802"/>
    <hyperlink ref="P893" r:id="rId803"/>
    <hyperlink ref="P894" r:id="rId804"/>
    <hyperlink ref="P895" r:id="rId805"/>
    <hyperlink ref="P896" r:id="rId806"/>
    <hyperlink ref="P897" r:id="rId807"/>
    <hyperlink ref="P898" r:id="rId808"/>
    <hyperlink ref="P899" r:id="rId809"/>
    <hyperlink ref="P900" r:id="rId810"/>
    <hyperlink ref="P901" r:id="rId811"/>
    <hyperlink ref="P902" r:id="rId812"/>
    <hyperlink ref="P903" r:id="rId813"/>
    <hyperlink ref="P904" r:id="rId814"/>
    <hyperlink ref="P905" r:id="rId815"/>
    <hyperlink ref="P906" r:id="rId816"/>
    <hyperlink ref="P907" r:id="rId817"/>
    <hyperlink ref="P908" r:id="rId818"/>
    <hyperlink ref="P909" r:id="rId819"/>
    <hyperlink ref="P910" r:id="rId820"/>
    <hyperlink ref="P911" r:id="rId821"/>
    <hyperlink ref="P912" r:id="rId822"/>
    <hyperlink ref="P913" r:id="rId823"/>
    <hyperlink ref="P914" r:id="rId824"/>
    <hyperlink ref="P915" r:id="rId825"/>
    <hyperlink ref="P916" r:id="rId826"/>
    <hyperlink ref="P917" r:id="rId827"/>
    <hyperlink ref="P918" r:id="rId828"/>
    <hyperlink ref="P919" r:id="rId829"/>
    <hyperlink ref="P920" r:id="rId830"/>
    <hyperlink ref="P921" r:id="rId831"/>
    <hyperlink ref="P922" r:id="rId832"/>
    <hyperlink ref="P923" r:id="rId833"/>
    <hyperlink ref="P924" r:id="rId834"/>
    <hyperlink ref="P925" r:id="rId835"/>
    <hyperlink ref="P926" r:id="rId836"/>
    <hyperlink ref="P927" r:id="rId837"/>
    <hyperlink ref="P928" r:id="rId838"/>
    <hyperlink ref="P929" r:id="rId839"/>
    <hyperlink ref="P930" r:id="rId840"/>
    <hyperlink ref="P931" r:id="rId841"/>
    <hyperlink ref="P932" r:id="rId842"/>
    <hyperlink ref="P933" r:id="rId843"/>
    <hyperlink ref="P934" r:id="rId844"/>
    <hyperlink ref="P935" r:id="rId845"/>
    <hyperlink ref="P936" r:id="rId846"/>
    <hyperlink ref="P937" r:id="rId847"/>
    <hyperlink ref="P938" r:id="rId848"/>
    <hyperlink ref="P939" r:id="rId849"/>
    <hyperlink ref="P940" r:id="rId850"/>
    <hyperlink ref="P941" r:id="rId851"/>
    <hyperlink ref="P942" r:id="rId852"/>
    <hyperlink ref="P943" r:id="rId853"/>
    <hyperlink ref="P944" r:id="rId854"/>
    <hyperlink ref="P945" r:id="rId855"/>
    <hyperlink ref="P946" r:id="rId856"/>
    <hyperlink ref="P947" r:id="rId857"/>
    <hyperlink ref="P948" r:id="rId858"/>
    <hyperlink ref="P949" r:id="rId859"/>
    <hyperlink ref="P950" r:id="rId860"/>
    <hyperlink ref="P951" r:id="rId861"/>
    <hyperlink ref="P952" r:id="rId862"/>
    <hyperlink ref="P953" r:id="rId863"/>
    <hyperlink ref="P954" r:id="rId864"/>
    <hyperlink ref="P955" r:id="rId865"/>
    <hyperlink ref="P956" r:id="rId866"/>
    <hyperlink ref="P957" r:id="rId867"/>
    <hyperlink ref="P958" r:id="rId868"/>
    <hyperlink ref="P959" r:id="rId869"/>
    <hyperlink ref="P960" r:id="rId870"/>
    <hyperlink ref="P961" r:id="rId871"/>
    <hyperlink ref="P962" r:id="rId872"/>
    <hyperlink ref="P963" r:id="rId873"/>
    <hyperlink ref="P964" r:id="rId874"/>
    <hyperlink ref="P965" r:id="rId875"/>
    <hyperlink ref="P966" r:id="rId876"/>
    <hyperlink ref="P967" r:id="rId877"/>
    <hyperlink ref="P968" r:id="rId878"/>
    <hyperlink ref="P969" r:id="rId879"/>
    <hyperlink ref="P970" r:id="rId880"/>
    <hyperlink ref="P971" r:id="rId881"/>
    <hyperlink ref="P972" r:id="rId882"/>
    <hyperlink ref="P973" r:id="rId883"/>
    <hyperlink ref="P974" r:id="rId884"/>
    <hyperlink ref="P975" r:id="rId885"/>
    <hyperlink ref="P976" r:id="rId886"/>
    <hyperlink ref="P977" r:id="rId887"/>
    <hyperlink ref="P978" r:id="rId888"/>
    <hyperlink ref="P979" r:id="rId889"/>
    <hyperlink ref="P980" r:id="rId890"/>
    <hyperlink ref="P981" r:id="rId891"/>
    <hyperlink ref="P982" r:id="rId892"/>
    <hyperlink ref="P983" r:id="rId893"/>
    <hyperlink ref="P984" r:id="rId894"/>
    <hyperlink ref="P985" r:id="rId895"/>
    <hyperlink ref="P986" r:id="rId896"/>
    <hyperlink ref="P987" r:id="rId897"/>
    <hyperlink ref="P988" r:id="rId898"/>
    <hyperlink ref="P989" r:id="rId899"/>
    <hyperlink ref="P990" r:id="rId900"/>
    <hyperlink ref="P991" r:id="rId901"/>
    <hyperlink ref="P992" r:id="rId902"/>
    <hyperlink ref="P993" r:id="rId903"/>
    <hyperlink ref="P994" r:id="rId904"/>
    <hyperlink ref="P995" r:id="rId905"/>
    <hyperlink ref="P996" r:id="rId906"/>
    <hyperlink ref="P997" r:id="rId907"/>
    <hyperlink ref="P998" r:id="rId908"/>
    <hyperlink ref="P999" r:id="rId909"/>
    <hyperlink ref="P1000" r:id="rId910"/>
    <hyperlink ref="P1001" r:id="rId911"/>
    <hyperlink ref="P1002" r:id="rId912"/>
    <hyperlink ref="P1003" r:id="rId913"/>
    <hyperlink ref="P1004" r:id="rId914"/>
    <hyperlink ref="P1005" r:id="rId915"/>
    <hyperlink ref="P1006" r:id="rId916"/>
    <hyperlink ref="P1007" r:id="rId917"/>
    <hyperlink ref="P1008" r:id="rId918"/>
    <hyperlink ref="P1009" r:id="rId919"/>
    <hyperlink ref="P1010" r:id="rId920"/>
    <hyperlink ref="P1011" r:id="rId921"/>
    <hyperlink ref="P1012" r:id="rId922"/>
    <hyperlink ref="P1013" r:id="rId923"/>
    <hyperlink ref="P1014" r:id="rId924"/>
    <hyperlink ref="P1015" r:id="rId925"/>
    <hyperlink ref="P1016" r:id="rId926"/>
    <hyperlink ref="P1017" r:id="rId927"/>
    <hyperlink ref="P1018" r:id="rId928"/>
    <hyperlink ref="P1019" r:id="rId929"/>
    <hyperlink ref="P1020" r:id="rId930"/>
    <hyperlink ref="P1021" r:id="rId931"/>
    <hyperlink ref="P1022" r:id="rId932"/>
    <hyperlink ref="P1023" r:id="rId933"/>
    <hyperlink ref="P1024" r:id="rId934"/>
    <hyperlink ref="P1025" r:id="rId935"/>
    <hyperlink ref="P1026" r:id="rId936"/>
    <hyperlink ref="P1027" r:id="rId937"/>
    <hyperlink ref="P1028" r:id="rId938"/>
    <hyperlink ref="P1029" r:id="rId939"/>
    <hyperlink ref="P1030" r:id="rId940"/>
    <hyperlink ref="P1031" r:id="rId941"/>
    <hyperlink ref="P1032" r:id="rId942"/>
    <hyperlink ref="P1033" r:id="rId943"/>
    <hyperlink ref="P1034" r:id="rId944"/>
    <hyperlink ref="P1035" r:id="rId945"/>
    <hyperlink ref="P1036" r:id="rId946"/>
    <hyperlink ref="P1037" r:id="rId947"/>
    <hyperlink ref="P1038" r:id="rId948"/>
    <hyperlink ref="P1039" r:id="rId949"/>
    <hyperlink ref="P1040" r:id="rId950"/>
    <hyperlink ref="P1041" r:id="rId951"/>
    <hyperlink ref="P1042" r:id="rId952"/>
    <hyperlink ref="P1043" r:id="rId953"/>
    <hyperlink ref="P1044" r:id="rId954"/>
    <hyperlink ref="P1045" r:id="rId955"/>
    <hyperlink ref="P1046" r:id="rId956"/>
    <hyperlink ref="P1047" r:id="rId957"/>
    <hyperlink ref="P1048" r:id="rId958"/>
    <hyperlink ref="P1049" r:id="rId959"/>
    <hyperlink ref="P1050" r:id="rId960"/>
    <hyperlink ref="P1051" r:id="rId961"/>
    <hyperlink ref="P1052" r:id="rId962"/>
    <hyperlink ref="P1053" r:id="rId963"/>
    <hyperlink ref="P1054" r:id="rId964"/>
    <hyperlink ref="P1055" r:id="rId965"/>
    <hyperlink ref="P1056" r:id="rId966"/>
    <hyperlink ref="P1057" r:id="rId967"/>
    <hyperlink ref="P1058" r:id="rId968"/>
    <hyperlink ref="P1059" r:id="rId969"/>
    <hyperlink ref="P1060" r:id="rId970"/>
    <hyperlink ref="P1061" r:id="rId971"/>
    <hyperlink ref="P1062" r:id="rId972"/>
    <hyperlink ref="P1063" r:id="rId973"/>
    <hyperlink ref="P1064" r:id="rId974"/>
    <hyperlink ref="P1065" r:id="rId975"/>
    <hyperlink ref="P1066" r:id="rId976"/>
    <hyperlink ref="P1067" r:id="rId977"/>
    <hyperlink ref="P1068" r:id="rId978"/>
    <hyperlink ref="P1069" r:id="rId979"/>
    <hyperlink ref="P1070" r:id="rId980"/>
    <hyperlink ref="P1071" r:id="rId981"/>
    <hyperlink ref="P1072" r:id="rId982"/>
    <hyperlink ref="P1073" r:id="rId983"/>
    <hyperlink ref="P1074" r:id="rId984"/>
    <hyperlink ref="P1075" r:id="rId985"/>
    <hyperlink ref="P1076" r:id="rId986"/>
    <hyperlink ref="P1077" r:id="rId987"/>
    <hyperlink ref="P1078" r:id="rId988"/>
    <hyperlink ref="P1079" r:id="rId989"/>
    <hyperlink ref="P1080" r:id="rId990"/>
    <hyperlink ref="P1081" r:id="rId991"/>
    <hyperlink ref="P1082" r:id="rId992"/>
    <hyperlink ref="P1083" r:id="rId993"/>
    <hyperlink ref="P1084" r:id="rId994"/>
    <hyperlink ref="P1085" r:id="rId995"/>
    <hyperlink ref="P1086" r:id="rId996"/>
    <hyperlink ref="P1087" r:id="rId997"/>
    <hyperlink ref="P1088" r:id="rId998"/>
    <hyperlink ref="P1089" r:id="rId999"/>
    <hyperlink ref="P1090" r:id="rId1000"/>
    <hyperlink ref="P1091" r:id="rId1001"/>
    <hyperlink ref="P1092" r:id="rId1002"/>
    <hyperlink ref="P1093" r:id="rId1003"/>
    <hyperlink ref="P1094" r:id="rId1004"/>
    <hyperlink ref="P1095" r:id="rId1005"/>
    <hyperlink ref="P1096" r:id="rId1006"/>
    <hyperlink ref="P1097" r:id="rId1007"/>
    <hyperlink ref="P1098" r:id="rId1008"/>
    <hyperlink ref="P1099" r:id="rId1009"/>
    <hyperlink ref="P1100" r:id="rId1010"/>
    <hyperlink ref="P1101" r:id="rId1011"/>
    <hyperlink ref="P1102" r:id="rId1012"/>
    <hyperlink ref="P1103" r:id="rId1013"/>
    <hyperlink ref="P1104" r:id="rId1014"/>
    <hyperlink ref="P1105" r:id="rId1015"/>
    <hyperlink ref="P1106" r:id="rId1016"/>
    <hyperlink ref="P1107" r:id="rId1017"/>
    <hyperlink ref="P1108" r:id="rId1018"/>
    <hyperlink ref="P1109" r:id="rId1019"/>
    <hyperlink ref="P1110" r:id="rId1020"/>
    <hyperlink ref="P1111" r:id="rId1021"/>
    <hyperlink ref="P1112" r:id="rId1022"/>
    <hyperlink ref="P1113" r:id="rId1023"/>
    <hyperlink ref="P1114" r:id="rId1024"/>
    <hyperlink ref="P1115" r:id="rId1025"/>
    <hyperlink ref="P1116" r:id="rId1026"/>
    <hyperlink ref="P1117" r:id="rId1027"/>
    <hyperlink ref="P1118" r:id="rId1028"/>
    <hyperlink ref="P1119" r:id="rId1029"/>
    <hyperlink ref="P1120" r:id="rId1030"/>
    <hyperlink ref="P1121" r:id="rId1031"/>
    <hyperlink ref="P1122" r:id="rId1032"/>
    <hyperlink ref="P1123" r:id="rId1033"/>
    <hyperlink ref="P1124" r:id="rId1034"/>
    <hyperlink ref="P1125" r:id="rId1035"/>
    <hyperlink ref="Q612" r:id="rId1036"/>
    <hyperlink ref="Q613" r:id="rId1037"/>
    <hyperlink ref="Q614" r:id="rId1038"/>
    <hyperlink ref="Q615" r:id="rId1039"/>
    <hyperlink ref="Q616" r:id="rId1040"/>
    <hyperlink ref="Q617" r:id="rId1041"/>
    <hyperlink ref="Q618" r:id="rId1042"/>
    <hyperlink ref="Q619" r:id="rId1043"/>
    <hyperlink ref="Q620" r:id="rId1044"/>
    <hyperlink ref="Q621" r:id="rId1045"/>
    <hyperlink ref="Q622" r:id="rId1046"/>
    <hyperlink ref="Q623" r:id="rId1047"/>
    <hyperlink ref="Q624" r:id="rId1048"/>
    <hyperlink ref="Q625" r:id="rId1049"/>
    <hyperlink ref="Q626" r:id="rId1050"/>
    <hyperlink ref="Q627" r:id="rId1051"/>
    <hyperlink ref="Q628" r:id="rId1052"/>
    <hyperlink ref="Q629" r:id="rId1053"/>
    <hyperlink ref="Q630" r:id="rId1054"/>
    <hyperlink ref="Q631" r:id="rId1055"/>
    <hyperlink ref="Q632" r:id="rId1056"/>
    <hyperlink ref="Q633" r:id="rId1057"/>
    <hyperlink ref="Q634" r:id="rId1058"/>
    <hyperlink ref="Q635" r:id="rId1059"/>
    <hyperlink ref="Q636" r:id="rId1060"/>
    <hyperlink ref="Q637" r:id="rId1061"/>
    <hyperlink ref="Q638" r:id="rId1062"/>
    <hyperlink ref="Q639" r:id="rId1063"/>
    <hyperlink ref="Q640" r:id="rId1064"/>
    <hyperlink ref="Q641" r:id="rId1065"/>
    <hyperlink ref="Q642" r:id="rId1066"/>
    <hyperlink ref="Q643" r:id="rId1067"/>
    <hyperlink ref="Q644" r:id="rId1068"/>
    <hyperlink ref="Q645" r:id="rId1069"/>
    <hyperlink ref="Q646" r:id="rId1070"/>
    <hyperlink ref="Q647" r:id="rId1071"/>
    <hyperlink ref="Q648" r:id="rId1072"/>
    <hyperlink ref="Q649" r:id="rId1073"/>
    <hyperlink ref="Q650" r:id="rId1074"/>
    <hyperlink ref="Q651" r:id="rId1075"/>
    <hyperlink ref="Q652" r:id="rId1076"/>
    <hyperlink ref="Q653" r:id="rId1077"/>
    <hyperlink ref="Q654" r:id="rId1078"/>
    <hyperlink ref="Q655" r:id="rId1079"/>
    <hyperlink ref="Q656" r:id="rId1080"/>
    <hyperlink ref="Q657" r:id="rId1081"/>
    <hyperlink ref="Q658" r:id="rId1082"/>
    <hyperlink ref="Q659" r:id="rId1083"/>
    <hyperlink ref="Q660" r:id="rId1084"/>
    <hyperlink ref="Q661" r:id="rId1085"/>
    <hyperlink ref="Q662" r:id="rId1086"/>
    <hyperlink ref="Q663" r:id="rId1087"/>
    <hyperlink ref="Q664" r:id="rId1088"/>
    <hyperlink ref="Q665" r:id="rId1089"/>
    <hyperlink ref="Q666" r:id="rId1090"/>
    <hyperlink ref="Q667" r:id="rId1091"/>
    <hyperlink ref="Q668" r:id="rId1092"/>
    <hyperlink ref="Q669" r:id="rId1093"/>
    <hyperlink ref="Q670" r:id="rId1094"/>
    <hyperlink ref="Q671" r:id="rId1095"/>
    <hyperlink ref="Q672" r:id="rId1096"/>
    <hyperlink ref="Q673" r:id="rId1097"/>
    <hyperlink ref="Q674" r:id="rId1098"/>
    <hyperlink ref="Q675" r:id="rId1099"/>
    <hyperlink ref="Q676" r:id="rId1100"/>
    <hyperlink ref="Q677" r:id="rId1101"/>
    <hyperlink ref="Q678" r:id="rId1102"/>
    <hyperlink ref="Q679" r:id="rId1103"/>
    <hyperlink ref="Q680" r:id="rId1104"/>
    <hyperlink ref="Q681" r:id="rId1105"/>
    <hyperlink ref="Q682" r:id="rId1106"/>
    <hyperlink ref="Q683" r:id="rId1107"/>
    <hyperlink ref="Q684" r:id="rId1108"/>
    <hyperlink ref="Q685" r:id="rId1109"/>
    <hyperlink ref="Q686" r:id="rId1110"/>
    <hyperlink ref="Q687" r:id="rId1111"/>
    <hyperlink ref="Q688" r:id="rId1112"/>
    <hyperlink ref="Q689" r:id="rId1113"/>
    <hyperlink ref="Q690" r:id="rId1114"/>
    <hyperlink ref="Q691" r:id="rId1115"/>
    <hyperlink ref="Q692" r:id="rId1116"/>
    <hyperlink ref="Q693" r:id="rId1117"/>
    <hyperlink ref="Q694" r:id="rId1118"/>
    <hyperlink ref="Q695" r:id="rId1119"/>
    <hyperlink ref="Q696" r:id="rId1120"/>
    <hyperlink ref="Q697" r:id="rId1121"/>
    <hyperlink ref="Q698" r:id="rId1122"/>
    <hyperlink ref="Q699" r:id="rId1123"/>
    <hyperlink ref="Q700" r:id="rId1124"/>
    <hyperlink ref="Q701" r:id="rId1125"/>
    <hyperlink ref="Q702" r:id="rId1126"/>
    <hyperlink ref="Q703" r:id="rId1127"/>
    <hyperlink ref="Q704" r:id="rId1128"/>
    <hyperlink ref="Q705" r:id="rId1129"/>
    <hyperlink ref="Q706" r:id="rId1130"/>
    <hyperlink ref="Q707" r:id="rId1131"/>
    <hyperlink ref="Q708" r:id="rId1132"/>
    <hyperlink ref="Q709" r:id="rId1133"/>
    <hyperlink ref="Q710" r:id="rId1134"/>
    <hyperlink ref="Q711" r:id="rId1135"/>
    <hyperlink ref="Q712" r:id="rId1136"/>
    <hyperlink ref="Q713" r:id="rId1137"/>
    <hyperlink ref="Q714" r:id="rId1138"/>
    <hyperlink ref="Q715" r:id="rId1139"/>
    <hyperlink ref="Q716" r:id="rId1140"/>
    <hyperlink ref="Q717" r:id="rId1141"/>
    <hyperlink ref="Q718" r:id="rId1142"/>
    <hyperlink ref="Q719" r:id="rId1143"/>
    <hyperlink ref="Q720" r:id="rId1144"/>
    <hyperlink ref="Q721" r:id="rId1145"/>
    <hyperlink ref="Q722" r:id="rId1146"/>
    <hyperlink ref="Q723" r:id="rId1147"/>
    <hyperlink ref="Q724" r:id="rId1148"/>
    <hyperlink ref="Q725" r:id="rId1149"/>
    <hyperlink ref="Q726" r:id="rId1150"/>
    <hyperlink ref="Q727" r:id="rId1151"/>
    <hyperlink ref="Q728" r:id="rId1152"/>
    <hyperlink ref="Q729" r:id="rId1153"/>
    <hyperlink ref="Q730" r:id="rId1154"/>
    <hyperlink ref="Q731" r:id="rId1155"/>
    <hyperlink ref="Q732" r:id="rId1156"/>
    <hyperlink ref="Q733" r:id="rId1157"/>
    <hyperlink ref="Q734" r:id="rId1158"/>
    <hyperlink ref="Q735" r:id="rId1159"/>
    <hyperlink ref="Q736" r:id="rId1160"/>
    <hyperlink ref="Q737" r:id="rId1161"/>
    <hyperlink ref="Q738" r:id="rId1162"/>
    <hyperlink ref="Q739" r:id="rId1163"/>
    <hyperlink ref="Q740" r:id="rId1164"/>
    <hyperlink ref="Q741" r:id="rId1165"/>
    <hyperlink ref="Q742" r:id="rId1166"/>
    <hyperlink ref="Q743" r:id="rId1167"/>
    <hyperlink ref="Q744" r:id="rId1168"/>
    <hyperlink ref="Q745" r:id="rId1169"/>
    <hyperlink ref="Q746" r:id="rId1170"/>
    <hyperlink ref="Q747" r:id="rId1171"/>
    <hyperlink ref="Q748" r:id="rId1172"/>
    <hyperlink ref="Q749" r:id="rId1173"/>
    <hyperlink ref="Q750" r:id="rId1174"/>
    <hyperlink ref="Q751" r:id="rId1175"/>
    <hyperlink ref="Q752" r:id="rId1176"/>
    <hyperlink ref="Q753" r:id="rId1177"/>
    <hyperlink ref="Q754" r:id="rId1178"/>
    <hyperlink ref="Q755" r:id="rId1179"/>
    <hyperlink ref="Q756" r:id="rId1180"/>
    <hyperlink ref="Q757" r:id="rId1181"/>
    <hyperlink ref="Q758" r:id="rId1182"/>
    <hyperlink ref="Q759" r:id="rId1183"/>
    <hyperlink ref="Q760" r:id="rId1184"/>
    <hyperlink ref="Q761" r:id="rId1185"/>
    <hyperlink ref="Q762" r:id="rId1186"/>
    <hyperlink ref="Q763" r:id="rId1187"/>
    <hyperlink ref="Q764" r:id="rId1188"/>
    <hyperlink ref="Q765" r:id="rId1189"/>
    <hyperlink ref="Q766" r:id="rId1190"/>
    <hyperlink ref="Q767" r:id="rId1191"/>
    <hyperlink ref="Q768" r:id="rId1192"/>
    <hyperlink ref="Q769" r:id="rId1193"/>
    <hyperlink ref="Q770" r:id="rId1194"/>
    <hyperlink ref="Q771" r:id="rId1195"/>
    <hyperlink ref="Q772" r:id="rId1196"/>
    <hyperlink ref="Q773" r:id="rId1197"/>
    <hyperlink ref="Q774" r:id="rId1198"/>
    <hyperlink ref="Q775" r:id="rId1199"/>
    <hyperlink ref="Q776" r:id="rId1200"/>
    <hyperlink ref="Q777" r:id="rId1201"/>
    <hyperlink ref="Q778" r:id="rId1202"/>
    <hyperlink ref="Q779" r:id="rId1203"/>
    <hyperlink ref="Q780" r:id="rId1204"/>
    <hyperlink ref="Q781" r:id="rId1205"/>
    <hyperlink ref="Q782" r:id="rId1206"/>
    <hyperlink ref="Q783" r:id="rId1207"/>
    <hyperlink ref="Q784" r:id="rId1208"/>
    <hyperlink ref="Q785" r:id="rId1209"/>
    <hyperlink ref="Q786" r:id="rId1210"/>
    <hyperlink ref="Q787" r:id="rId1211"/>
    <hyperlink ref="Q788" r:id="rId1212"/>
    <hyperlink ref="Q789" r:id="rId1213"/>
    <hyperlink ref="Q790" r:id="rId1214"/>
    <hyperlink ref="Q791" r:id="rId1215"/>
    <hyperlink ref="Q792" r:id="rId1216"/>
    <hyperlink ref="Q793" r:id="rId1217"/>
    <hyperlink ref="Q794" r:id="rId1218"/>
    <hyperlink ref="Q795" r:id="rId1219"/>
    <hyperlink ref="Q796" r:id="rId1220"/>
    <hyperlink ref="Q797" r:id="rId1221"/>
    <hyperlink ref="Q798" r:id="rId1222"/>
    <hyperlink ref="Q799" r:id="rId1223"/>
    <hyperlink ref="Q800" r:id="rId1224"/>
    <hyperlink ref="Q801" r:id="rId1225"/>
    <hyperlink ref="Q802" r:id="rId1226"/>
    <hyperlink ref="Q803" r:id="rId1227"/>
    <hyperlink ref="Q804" r:id="rId1228"/>
    <hyperlink ref="Q805" r:id="rId1229"/>
    <hyperlink ref="Q806" r:id="rId1230"/>
    <hyperlink ref="Q807" r:id="rId1231"/>
    <hyperlink ref="Q808" r:id="rId1232"/>
    <hyperlink ref="Q809" r:id="rId1233"/>
    <hyperlink ref="Q810" r:id="rId1234"/>
    <hyperlink ref="Q811" r:id="rId1235"/>
    <hyperlink ref="Q812" r:id="rId1236"/>
    <hyperlink ref="Q813" r:id="rId1237"/>
    <hyperlink ref="Q814" r:id="rId1238"/>
    <hyperlink ref="Q815" r:id="rId1239"/>
    <hyperlink ref="Q816" r:id="rId1240"/>
    <hyperlink ref="Q817" r:id="rId1241"/>
    <hyperlink ref="Q818" r:id="rId1242"/>
    <hyperlink ref="Q819" r:id="rId1243"/>
    <hyperlink ref="Q820" r:id="rId1244"/>
    <hyperlink ref="Q821" r:id="rId1245"/>
    <hyperlink ref="Q822" r:id="rId1246"/>
    <hyperlink ref="Q823" r:id="rId1247"/>
    <hyperlink ref="Q824" r:id="rId1248"/>
    <hyperlink ref="Q825" r:id="rId1249"/>
    <hyperlink ref="Q826" r:id="rId1250"/>
    <hyperlink ref="Q827" r:id="rId1251"/>
    <hyperlink ref="Q828" r:id="rId1252"/>
    <hyperlink ref="Q829" r:id="rId1253"/>
    <hyperlink ref="Q830" r:id="rId1254"/>
    <hyperlink ref="Q831" r:id="rId1255"/>
    <hyperlink ref="Q832" r:id="rId1256"/>
    <hyperlink ref="Q833" r:id="rId1257"/>
    <hyperlink ref="Q834" r:id="rId1258"/>
    <hyperlink ref="Q835" r:id="rId1259"/>
    <hyperlink ref="Q836" r:id="rId1260"/>
    <hyperlink ref="Q837" r:id="rId1261"/>
    <hyperlink ref="Q838" r:id="rId1262"/>
    <hyperlink ref="Q839" r:id="rId1263"/>
    <hyperlink ref="Q840" r:id="rId1264"/>
    <hyperlink ref="Q841" r:id="rId1265"/>
    <hyperlink ref="Q842" r:id="rId1266"/>
    <hyperlink ref="Q843" r:id="rId1267"/>
    <hyperlink ref="Q844" r:id="rId1268"/>
    <hyperlink ref="Q845" r:id="rId1269"/>
    <hyperlink ref="Q846" r:id="rId1270"/>
    <hyperlink ref="Q847" r:id="rId1271"/>
    <hyperlink ref="Q848" r:id="rId1272"/>
    <hyperlink ref="Q849" r:id="rId1273"/>
    <hyperlink ref="Q850" r:id="rId1274"/>
    <hyperlink ref="Q851" r:id="rId1275"/>
    <hyperlink ref="Q852" r:id="rId1276"/>
    <hyperlink ref="Q853" r:id="rId1277"/>
    <hyperlink ref="Q854" r:id="rId1278"/>
    <hyperlink ref="Q855" r:id="rId1279"/>
    <hyperlink ref="Q856" r:id="rId1280"/>
    <hyperlink ref="Q857" r:id="rId1281"/>
    <hyperlink ref="Q858" r:id="rId1282"/>
    <hyperlink ref="Q859" r:id="rId1283"/>
    <hyperlink ref="Q860" r:id="rId1284"/>
    <hyperlink ref="Q861" r:id="rId1285"/>
    <hyperlink ref="Q862" r:id="rId1286"/>
    <hyperlink ref="Q863" r:id="rId1287"/>
    <hyperlink ref="Q864" r:id="rId1288"/>
    <hyperlink ref="Q865" r:id="rId1289"/>
    <hyperlink ref="Q866" r:id="rId1290"/>
    <hyperlink ref="Q867" r:id="rId1291"/>
    <hyperlink ref="Q868" r:id="rId1292"/>
    <hyperlink ref="Q869" r:id="rId1293"/>
    <hyperlink ref="Q870" r:id="rId1294"/>
    <hyperlink ref="Q871" r:id="rId1295"/>
    <hyperlink ref="Q872" r:id="rId1296"/>
    <hyperlink ref="Q873" r:id="rId1297"/>
    <hyperlink ref="Q874" r:id="rId1298"/>
    <hyperlink ref="Q875" r:id="rId1299"/>
    <hyperlink ref="Q876" r:id="rId1300"/>
    <hyperlink ref="Q877" r:id="rId1301"/>
    <hyperlink ref="Q878" r:id="rId1302"/>
    <hyperlink ref="Q879" r:id="rId1303"/>
    <hyperlink ref="Q880" r:id="rId1304"/>
    <hyperlink ref="Q881" r:id="rId1305"/>
    <hyperlink ref="Q882" r:id="rId1306"/>
    <hyperlink ref="Q883" r:id="rId1307"/>
    <hyperlink ref="Q884" r:id="rId1308"/>
    <hyperlink ref="Q885" r:id="rId1309"/>
    <hyperlink ref="Q886" r:id="rId1310"/>
    <hyperlink ref="Q887" r:id="rId1311"/>
    <hyperlink ref="Q888" r:id="rId1312"/>
    <hyperlink ref="Q889" r:id="rId1313"/>
    <hyperlink ref="Q890" r:id="rId1314"/>
    <hyperlink ref="Q891" r:id="rId1315"/>
    <hyperlink ref="Q892" r:id="rId1316"/>
    <hyperlink ref="Q893" r:id="rId1317"/>
    <hyperlink ref="Q894" r:id="rId1318"/>
    <hyperlink ref="Q895" r:id="rId1319"/>
    <hyperlink ref="Q896" r:id="rId1320"/>
    <hyperlink ref="Q897" r:id="rId1321"/>
    <hyperlink ref="Q898" r:id="rId1322"/>
    <hyperlink ref="Q899" r:id="rId1323"/>
    <hyperlink ref="Q900" r:id="rId1324"/>
    <hyperlink ref="Q901" r:id="rId1325"/>
    <hyperlink ref="Q902" r:id="rId1326"/>
    <hyperlink ref="Q903" r:id="rId1327"/>
    <hyperlink ref="Q904" r:id="rId1328"/>
    <hyperlink ref="Q905" r:id="rId1329"/>
    <hyperlink ref="Q906" r:id="rId1330"/>
    <hyperlink ref="Q907" r:id="rId1331"/>
    <hyperlink ref="Q908" r:id="rId1332"/>
    <hyperlink ref="Q909" r:id="rId1333"/>
    <hyperlink ref="Q910" r:id="rId1334"/>
    <hyperlink ref="Q911" r:id="rId1335"/>
    <hyperlink ref="Q912" r:id="rId1336"/>
    <hyperlink ref="Q913" r:id="rId1337"/>
    <hyperlink ref="Q914" r:id="rId1338"/>
    <hyperlink ref="Q915" r:id="rId1339"/>
    <hyperlink ref="Q916" r:id="rId1340"/>
    <hyperlink ref="Q917" r:id="rId1341"/>
    <hyperlink ref="Q918" r:id="rId1342"/>
    <hyperlink ref="Q919" r:id="rId1343"/>
    <hyperlink ref="Q920" r:id="rId1344"/>
    <hyperlink ref="Q921" r:id="rId1345"/>
    <hyperlink ref="Q922" r:id="rId1346"/>
    <hyperlink ref="Q923" r:id="rId1347"/>
    <hyperlink ref="Q924" r:id="rId1348"/>
    <hyperlink ref="Q925" r:id="rId1349"/>
    <hyperlink ref="Q926" r:id="rId1350"/>
    <hyperlink ref="Q927" r:id="rId1351"/>
    <hyperlink ref="Q928" r:id="rId1352"/>
    <hyperlink ref="Q929" r:id="rId1353"/>
    <hyperlink ref="Q930" r:id="rId1354"/>
    <hyperlink ref="Q931" r:id="rId1355"/>
    <hyperlink ref="Q932" r:id="rId1356"/>
    <hyperlink ref="Q933" r:id="rId1357"/>
    <hyperlink ref="Q934" r:id="rId1358"/>
    <hyperlink ref="Q935" r:id="rId1359"/>
    <hyperlink ref="Q936" r:id="rId1360"/>
    <hyperlink ref="Q937" r:id="rId1361"/>
    <hyperlink ref="Q938" r:id="rId1362"/>
    <hyperlink ref="Q939" r:id="rId1363"/>
    <hyperlink ref="Q940" r:id="rId1364"/>
    <hyperlink ref="Q941" r:id="rId1365"/>
    <hyperlink ref="Q942" r:id="rId1366"/>
    <hyperlink ref="Q943" r:id="rId1367"/>
    <hyperlink ref="Q944" r:id="rId1368"/>
    <hyperlink ref="Q945" r:id="rId1369"/>
    <hyperlink ref="Q946" r:id="rId1370"/>
    <hyperlink ref="Q947" r:id="rId1371"/>
    <hyperlink ref="Q948" r:id="rId1372"/>
    <hyperlink ref="Q949" r:id="rId1373"/>
    <hyperlink ref="Q950" r:id="rId1374"/>
    <hyperlink ref="Q951" r:id="rId1375"/>
    <hyperlink ref="Q952" r:id="rId1376"/>
    <hyperlink ref="Q953" r:id="rId1377"/>
    <hyperlink ref="Q954" r:id="rId1378"/>
    <hyperlink ref="Q955" r:id="rId1379"/>
    <hyperlink ref="Q956" r:id="rId1380"/>
    <hyperlink ref="Q957" r:id="rId1381"/>
    <hyperlink ref="Q958" r:id="rId1382"/>
    <hyperlink ref="Q959" r:id="rId1383"/>
    <hyperlink ref="Q960" r:id="rId1384"/>
    <hyperlink ref="Q961" r:id="rId1385"/>
    <hyperlink ref="Q962" r:id="rId1386"/>
    <hyperlink ref="Q963" r:id="rId1387"/>
    <hyperlink ref="Q964" r:id="rId1388"/>
    <hyperlink ref="Q965" r:id="rId1389"/>
    <hyperlink ref="Q966" r:id="rId1390"/>
    <hyperlink ref="Q967" r:id="rId1391"/>
    <hyperlink ref="Q968" r:id="rId1392"/>
    <hyperlink ref="Q969" r:id="rId1393"/>
    <hyperlink ref="Q970" r:id="rId1394"/>
    <hyperlink ref="Q971" r:id="rId1395"/>
    <hyperlink ref="Q972" r:id="rId1396"/>
    <hyperlink ref="Q973" r:id="rId1397"/>
    <hyperlink ref="Q974" r:id="rId1398"/>
    <hyperlink ref="Q975" r:id="rId1399"/>
    <hyperlink ref="Q976" r:id="rId1400"/>
    <hyperlink ref="Q977" r:id="rId1401"/>
    <hyperlink ref="Q978" r:id="rId1402"/>
    <hyperlink ref="Q979" r:id="rId1403"/>
    <hyperlink ref="Q980" r:id="rId1404"/>
    <hyperlink ref="Q981" r:id="rId1405"/>
    <hyperlink ref="Q982" r:id="rId1406"/>
    <hyperlink ref="Q983" r:id="rId1407"/>
    <hyperlink ref="Q984" r:id="rId1408"/>
    <hyperlink ref="Q985" r:id="rId1409"/>
    <hyperlink ref="Q986" r:id="rId1410"/>
    <hyperlink ref="Q987" r:id="rId1411"/>
    <hyperlink ref="Q988" r:id="rId1412"/>
    <hyperlink ref="Q989" r:id="rId1413"/>
    <hyperlink ref="Q990" r:id="rId1414"/>
    <hyperlink ref="Q991" r:id="rId1415"/>
    <hyperlink ref="Q992" r:id="rId1416"/>
    <hyperlink ref="Q993" r:id="rId1417"/>
    <hyperlink ref="Q994" r:id="rId1418"/>
    <hyperlink ref="Q995" r:id="rId1419"/>
    <hyperlink ref="Q996" r:id="rId1420"/>
    <hyperlink ref="Q997" r:id="rId1421"/>
    <hyperlink ref="Q998" r:id="rId1422"/>
    <hyperlink ref="Q999" r:id="rId1423"/>
    <hyperlink ref="Q1000" r:id="rId1424"/>
    <hyperlink ref="Q1001" r:id="rId1425"/>
    <hyperlink ref="Q1002" r:id="rId1426"/>
    <hyperlink ref="Q1003" r:id="rId1427"/>
    <hyperlink ref="Q1004" r:id="rId1428"/>
    <hyperlink ref="Q1005" r:id="rId1429"/>
    <hyperlink ref="Q1006" r:id="rId1430"/>
    <hyperlink ref="Q1007" r:id="rId1431"/>
    <hyperlink ref="Q1008" r:id="rId1432"/>
    <hyperlink ref="Q1009" r:id="rId1433"/>
    <hyperlink ref="Q1010" r:id="rId1434"/>
    <hyperlink ref="Q1011" r:id="rId1435"/>
    <hyperlink ref="Q1012" r:id="rId1436"/>
    <hyperlink ref="Q1013" r:id="rId1437"/>
    <hyperlink ref="Q1014" r:id="rId1438"/>
    <hyperlink ref="Q1015" r:id="rId1439"/>
    <hyperlink ref="Q1016" r:id="rId1440"/>
    <hyperlink ref="Q1017" r:id="rId1441"/>
    <hyperlink ref="Q1018" r:id="rId1442"/>
    <hyperlink ref="Q1019" r:id="rId1443"/>
    <hyperlink ref="Q1020" r:id="rId1444"/>
    <hyperlink ref="Q1021" r:id="rId1445"/>
    <hyperlink ref="Q1022" r:id="rId1446"/>
    <hyperlink ref="Q1023" r:id="rId1447"/>
    <hyperlink ref="Q1024" r:id="rId1448"/>
    <hyperlink ref="Q1025" r:id="rId1449"/>
    <hyperlink ref="Q1026" r:id="rId1450"/>
    <hyperlink ref="Q1027" r:id="rId1451"/>
    <hyperlink ref="Q1028" r:id="rId1452"/>
    <hyperlink ref="Q1029" r:id="rId1453"/>
    <hyperlink ref="Q1030" r:id="rId1454"/>
    <hyperlink ref="Q1031" r:id="rId1455"/>
    <hyperlink ref="Q1032" r:id="rId1456"/>
    <hyperlink ref="Q1033" r:id="rId1457"/>
    <hyperlink ref="Q1034" r:id="rId1458"/>
    <hyperlink ref="Q1035" r:id="rId1459"/>
    <hyperlink ref="Q1036" r:id="rId1460"/>
    <hyperlink ref="Q1037" r:id="rId1461"/>
    <hyperlink ref="Q1038" r:id="rId1462"/>
    <hyperlink ref="Q1039" r:id="rId1463"/>
    <hyperlink ref="Q1040" r:id="rId1464"/>
    <hyperlink ref="Q1041" r:id="rId1465"/>
    <hyperlink ref="Q1042" r:id="rId1466"/>
    <hyperlink ref="Q1043" r:id="rId1467"/>
    <hyperlink ref="Q1044" r:id="rId1468"/>
    <hyperlink ref="Q1045" r:id="rId1469"/>
    <hyperlink ref="Q1046" r:id="rId1470"/>
    <hyperlink ref="Q1047" r:id="rId1471"/>
    <hyperlink ref="Q1048" r:id="rId1472"/>
    <hyperlink ref="Q1049" r:id="rId1473"/>
    <hyperlink ref="Q1050" r:id="rId1474"/>
    <hyperlink ref="Q1051" r:id="rId1475"/>
    <hyperlink ref="Q1052" r:id="rId1476"/>
    <hyperlink ref="Q1053" r:id="rId1477"/>
    <hyperlink ref="Q1054" r:id="rId1478"/>
    <hyperlink ref="Q1055" r:id="rId1479"/>
    <hyperlink ref="Q1056" r:id="rId1480"/>
    <hyperlink ref="Q1057" r:id="rId1481"/>
    <hyperlink ref="Q1058" r:id="rId1482"/>
    <hyperlink ref="Q1059" r:id="rId1483"/>
    <hyperlink ref="Q1060" r:id="rId1484"/>
    <hyperlink ref="Q1061" r:id="rId1485"/>
    <hyperlink ref="Q1062" r:id="rId1486"/>
    <hyperlink ref="Q1063" r:id="rId1487"/>
    <hyperlink ref="Q1064" r:id="rId1488"/>
    <hyperlink ref="Q1065" r:id="rId1489"/>
    <hyperlink ref="Q1066" r:id="rId1490"/>
    <hyperlink ref="Q1067" r:id="rId1491"/>
    <hyperlink ref="Q1068" r:id="rId1492"/>
    <hyperlink ref="Q1069" r:id="rId1493"/>
    <hyperlink ref="Q1070" r:id="rId1494"/>
    <hyperlink ref="Q1071" r:id="rId1495"/>
    <hyperlink ref="Q1072" r:id="rId1496"/>
    <hyperlink ref="Q1073" r:id="rId1497"/>
    <hyperlink ref="Q1074" r:id="rId1498"/>
    <hyperlink ref="Q1075" r:id="rId1499"/>
    <hyperlink ref="Q1076" r:id="rId1500"/>
    <hyperlink ref="Q1077" r:id="rId1501"/>
    <hyperlink ref="Q1078" r:id="rId1502"/>
    <hyperlink ref="Q1079" r:id="rId1503"/>
    <hyperlink ref="Q1080" r:id="rId1504"/>
    <hyperlink ref="Q1081" r:id="rId1505"/>
    <hyperlink ref="Q1082" r:id="rId1506"/>
    <hyperlink ref="Q1083" r:id="rId1507"/>
    <hyperlink ref="Q1084" r:id="rId1508"/>
    <hyperlink ref="Q1085" r:id="rId1509"/>
    <hyperlink ref="Q1086" r:id="rId1510"/>
    <hyperlink ref="Q1087" r:id="rId1511"/>
    <hyperlink ref="Q1088" r:id="rId1512"/>
    <hyperlink ref="Q1089" r:id="rId1513"/>
    <hyperlink ref="Q1090" r:id="rId1514"/>
    <hyperlink ref="Q1091" r:id="rId1515"/>
    <hyperlink ref="Q1092" r:id="rId1516"/>
    <hyperlink ref="Q1093" r:id="rId1517"/>
    <hyperlink ref="Q1094" r:id="rId1518"/>
    <hyperlink ref="Q1095" r:id="rId1519"/>
    <hyperlink ref="Q1096" r:id="rId1520"/>
    <hyperlink ref="Q1097" r:id="rId1521"/>
    <hyperlink ref="Q1098" r:id="rId1522"/>
    <hyperlink ref="Q1099" r:id="rId1523"/>
    <hyperlink ref="Q1100" r:id="rId1524"/>
    <hyperlink ref="Q1101" r:id="rId1525"/>
    <hyperlink ref="Q1102" r:id="rId1526"/>
    <hyperlink ref="Q1103" r:id="rId1527"/>
    <hyperlink ref="Q1104" r:id="rId1528"/>
    <hyperlink ref="Q1105" r:id="rId1529"/>
    <hyperlink ref="Q1106" r:id="rId1530"/>
    <hyperlink ref="Q1107" r:id="rId1531"/>
    <hyperlink ref="Q1108" r:id="rId1532"/>
    <hyperlink ref="Q1109" r:id="rId1533"/>
    <hyperlink ref="Q1110" r:id="rId1534"/>
    <hyperlink ref="Q1111" r:id="rId1535"/>
    <hyperlink ref="Q1112" r:id="rId1536"/>
    <hyperlink ref="Q1113" r:id="rId1537"/>
    <hyperlink ref="Q1114" r:id="rId1538"/>
    <hyperlink ref="Q1115" r:id="rId1539"/>
    <hyperlink ref="Q1116" r:id="rId1540"/>
    <hyperlink ref="Q1117" r:id="rId1541"/>
    <hyperlink ref="Q1118" r:id="rId1542"/>
    <hyperlink ref="Q1119" r:id="rId1543"/>
    <hyperlink ref="Q1120" r:id="rId1544"/>
    <hyperlink ref="Q1121" r:id="rId1545"/>
    <hyperlink ref="Q1122" r:id="rId1546"/>
    <hyperlink ref="Q1123" r:id="rId1547"/>
    <hyperlink ref="Q1124" r:id="rId1548"/>
    <hyperlink ref="Q1125" r:id="rId1549"/>
  </hyperlinks>
  <pageMargins left="0.7" right="0.7" top="0.75" bottom="0.75" header="0.3" footer="0.3"/>
  <pageSetup orientation="portrait" r:id="rId155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6"/>
  <sheetViews>
    <sheetView topLeftCell="A597" workbookViewId="0">
      <selection activeCell="A4" sqref="A4:XFD606"/>
    </sheetView>
  </sheetViews>
  <sheetFormatPr baseColWidth="10" defaultColWidth="9.21875" defaultRowHeight="14.4" x14ac:dyDescent="0.3"/>
  <cols>
    <col min="1" max="1" width="7.77734375" customWidth="1"/>
    <col min="2" max="2" width="20.77734375" bestFit="1" customWidth="1"/>
    <col min="3" max="3" width="29.77734375" bestFit="1" customWidth="1"/>
    <col min="4" max="4" width="36.44140625" bestFit="1" customWidth="1"/>
    <col min="5" max="5" width="38.44140625" bestFit="1" customWidth="1"/>
    <col min="6" max="6" width="35.44140625" bestFit="1" customWidth="1"/>
  </cols>
  <sheetData>
    <row r="1" spans="1:6" hidden="1" x14ac:dyDescent="0.3">
      <c r="B1" t="s">
        <v>7</v>
      </c>
      <c r="C1" t="s">
        <v>8</v>
      </c>
      <c r="D1" t="s">
        <v>9</v>
      </c>
      <c r="E1" t="s">
        <v>9</v>
      </c>
      <c r="F1" t="s">
        <v>9</v>
      </c>
    </row>
    <row r="2" spans="1:6" hidden="1" x14ac:dyDescent="0.3">
      <c r="B2" t="s">
        <v>61</v>
      </c>
      <c r="C2" t="s">
        <v>62</v>
      </c>
      <c r="D2" t="s">
        <v>63</v>
      </c>
      <c r="E2" t="s">
        <v>64</v>
      </c>
      <c r="F2" t="s">
        <v>65</v>
      </c>
    </row>
    <row r="3" spans="1:6" x14ac:dyDescent="0.3">
      <c r="A3" s="1" t="s">
        <v>66</v>
      </c>
      <c r="B3" s="1" t="s">
        <v>67</v>
      </c>
      <c r="C3" s="1" t="s">
        <v>68</v>
      </c>
      <c r="D3" s="1" t="s">
        <v>69</v>
      </c>
      <c r="E3" s="1" t="s">
        <v>70</v>
      </c>
      <c r="F3" s="1" t="s">
        <v>71</v>
      </c>
    </row>
    <row r="4" spans="1:6" ht="17.25" customHeight="1" x14ac:dyDescent="0.3">
      <c r="A4" s="3">
        <v>1</v>
      </c>
      <c r="B4" s="16">
        <v>1131</v>
      </c>
      <c r="C4" s="5" t="s">
        <v>72</v>
      </c>
      <c r="D4" s="6">
        <v>164351604.03999999</v>
      </c>
      <c r="E4" s="6">
        <v>164351604.03999999</v>
      </c>
      <c r="F4" s="6">
        <v>164351604.03999999</v>
      </c>
    </row>
    <row r="5" spans="1:6" ht="17.25" customHeight="1" x14ac:dyDescent="0.3">
      <c r="A5" s="3">
        <v>2</v>
      </c>
      <c r="B5" s="16">
        <v>1211</v>
      </c>
      <c r="C5" s="7" t="s">
        <v>73</v>
      </c>
      <c r="D5" s="6">
        <v>4259985.25</v>
      </c>
      <c r="E5" s="6">
        <v>4259985.25</v>
      </c>
      <c r="F5" s="6">
        <v>4259985.25</v>
      </c>
    </row>
    <row r="6" spans="1:6" ht="17.25" customHeight="1" x14ac:dyDescent="0.3">
      <c r="A6" s="3">
        <v>3</v>
      </c>
      <c r="B6" s="16">
        <v>1312</v>
      </c>
      <c r="C6" s="7" t="s">
        <v>74</v>
      </c>
      <c r="D6" s="6">
        <v>10770.96</v>
      </c>
      <c r="E6" s="6">
        <v>10770.96</v>
      </c>
      <c r="F6" s="6">
        <v>10770.96</v>
      </c>
    </row>
    <row r="7" spans="1:6" ht="17.25" customHeight="1" x14ac:dyDescent="0.3">
      <c r="A7" s="3">
        <v>4</v>
      </c>
      <c r="B7" s="16">
        <v>1321</v>
      </c>
      <c r="C7" s="8" t="s">
        <v>75</v>
      </c>
      <c r="D7" s="6">
        <v>14097907.710000001</v>
      </c>
      <c r="E7" s="6">
        <v>14097907.710000001</v>
      </c>
      <c r="F7" s="6">
        <v>14097907.710000001</v>
      </c>
    </row>
    <row r="8" spans="1:6" ht="17.25" customHeight="1" x14ac:dyDescent="0.3">
      <c r="A8" s="3">
        <v>5</v>
      </c>
      <c r="B8" s="16">
        <v>1323</v>
      </c>
      <c r="C8" s="8" t="s">
        <v>76</v>
      </c>
      <c r="D8" s="6">
        <f t="shared" ref="D8:F8" si="0">128462.72+2424.44</f>
        <v>130887.16</v>
      </c>
      <c r="E8" s="6">
        <f t="shared" si="0"/>
        <v>130887.16</v>
      </c>
      <c r="F8" s="6">
        <f t="shared" si="0"/>
        <v>130887.16</v>
      </c>
    </row>
    <row r="9" spans="1:6" ht="17.25" customHeight="1" x14ac:dyDescent="0.3">
      <c r="A9" s="3">
        <v>6</v>
      </c>
      <c r="B9" s="16">
        <v>1331</v>
      </c>
      <c r="C9" s="8" t="s">
        <v>77</v>
      </c>
      <c r="D9" s="6">
        <v>545623.67000000004</v>
      </c>
      <c r="E9" s="6">
        <v>545623.67000000004</v>
      </c>
      <c r="F9" s="6">
        <v>545623.67000000004</v>
      </c>
    </row>
    <row r="10" spans="1:6" ht="17.25" customHeight="1" x14ac:dyDescent="0.3">
      <c r="A10" s="3">
        <v>7</v>
      </c>
      <c r="B10" s="16">
        <v>1342</v>
      </c>
      <c r="C10" s="8" t="s">
        <v>78</v>
      </c>
      <c r="D10" s="6">
        <v>46776</v>
      </c>
      <c r="E10" s="6">
        <v>46776</v>
      </c>
      <c r="F10" s="6">
        <v>46776</v>
      </c>
    </row>
    <row r="11" spans="1:6" ht="17.25" customHeight="1" x14ac:dyDescent="0.3">
      <c r="A11" s="3">
        <v>8</v>
      </c>
      <c r="B11" s="16">
        <v>1411</v>
      </c>
      <c r="C11" s="9" t="s">
        <v>79</v>
      </c>
      <c r="D11" s="6">
        <v>4861355.87</v>
      </c>
      <c r="E11" s="6">
        <v>4861355.87</v>
      </c>
      <c r="F11" s="6">
        <v>4861355.87</v>
      </c>
    </row>
    <row r="12" spans="1:6" ht="17.25" customHeight="1" x14ac:dyDescent="0.3">
      <c r="A12" s="3">
        <v>9</v>
      </c>
      <c r="B12" s="16">
        <v>1421</v>
      </c>
      <c r="C12" s="9" t="s">
        <v>80</v>
      </c>
      <c r="D12" s="6">
        <v>4022547.96</v>
      </c>
      <c r="E12" s="6">
        <v>4022547.96</v>
      </c>
      <c r="F12" s="6">
        <v>4022547.96</v>
      </c>
    </row>
    <row r="13" spans="1:6" ht="17.25" customHeight="1" x14ac:dyDescent="0.3">
      <c r="A13" s="3">
        <v>10</v>
      </c>
      <c r="B13" s="16">
        <v>1431</v>
      </c>
      <c r="C13" s="9" t="s">
        <v>81</v>
      </c>
      <c r="D13" s="6">
        <v>4591445.8600000003</v>
      </c>
      <c r="E13" s="6">
        <v>4591445.8600000003</v>
      </c>
      <c r="F13" s="6">
        <v>4591445.8600000003</v>
      </c>
    </row>
    <row r="14" spans="1:6" ht="17.25" customHeight="1" x14ac:dyDescent="0.3">
      <c r="A14" s="3">
        <v>11</v>
      </c>
      <c r="B14" s="16">
        <v>1441</v>
      </c>
      <c r="C14" s="9" t="s">
        <v>82</v>
      </c>
      <c r="D14" s="6">
        <v>3115386.94</v>
      </c>
      <c r="E14" s="6">
        <v>3115386.94</v>
      </c>
      <c r="F14" s="6">
        <v>3115386.94</v>
      </c>
    </row>
    <row r="15" spans="1:6" ht="17.25" customHeight="1" x14ac:dyDescent="0.3">
      <c r="A15" s="3">
        <v>12</v>
      </c>
      <c r="B15" s="3">
        <v>1443</v>
      </c>
      <c r="C15" s="9" t="s">
        <v>83</v>
      </c>
      <c r="D15" s="6">
        <v>0</v>
      </c>
      <c r="E15" s="6">
        <v>0</v>
      </c>
      <c r="F15" s="6">
        <v>0</v>
      </c>
    </row>
    <row r="16" spans="1:6" ht="17.25" customHeight="1" x14ac:dyDescent="0.3">
      <c r="A16" s="3">
        <v>13</v>
      </c>
      <c r="B16" s="16">
        <v>1521</v>
      </c>
      <c r="C16" s="9" t="s">
        <v>84</v>
      </c>
      <c r="D16" s="6">
        <v>544666.36</v>
      </c>
      <c r="E16" s="6">
        <v>544666.36</v>
      </c>
      <c r="F16" s="6">
        <v>544666.36</v>
      </c>
    </row>
    <row r="17" spans="1:6" ht="17.25" customHeight="1" x14ac:dyDescent="0.3">
      <c r="A17" s="3">
        <v>14</v>
      </c>
      <c r="B17" s="16">
        <v>1541</v>
      </c>
      <c r="C17" s="9" t="s">
        <v>85</v>
      </c>
      <c r="D17" s="6">
        <f t="shared" ref="D17:F17" si="1">841650.32+3719990.33</f>
        <v>4561640.6500000004</v>
      </c>
      <c r="E17" s="6">
        <f t="shared" si="1"/>
        <v>4561640.6500000004</v>
      </c>
      <c r="F17" s="6">
        <f t="shared" si="1"/>
        <v>4561640.6500000004</v>
      </c>
    </row>
    <row r="18" spans="1:6" ht="17.25" customHeight="1" x14ac:dyDescent="0.3">
      <c r="A18" s="3">
        <v>15</v>
      </c>
      <c r="B18" s="16">
        <v>1542</v>
      </c>
      <c r="C18" s="9" t="s">
        <v>86</v>
      </c>
      <c r="D18" s="6">
        <v>38647.800000000003</v>
      </c>
      <c r="E18" s="6">
        <v>38647.800000000003</v>
      </c>
      <c r="F18" s="6">
        <v>38647.800000000003</v>
      </c>
    </row>
    <row r="19" spans="1:6" ht="17.25" customHeight="1" x14ac:dyDescent="0.3">
      <c r="A19" s="3">
        <v>16</v>
      </c>
      <c r="B19" s="16">
        <v>1543</v>
      </c>
      <c r="C19" s="9" t="s">
        <v>87</v>
      </c>
      <c r="D19" s="6">
        <v>269345.59999999998</v>
      </c>
      <c r="E19" s="6">
        <v>269345.59999999998</v>
      </c>
      <c r="F19" s="6">
        <v>269345.59999999998</v>
      </c>
    </row>
    <row r="20" spans="1:6" ht="17.25" customHeight="1" x14ac:dyDescent="0.3">
      <c r="A20" s="3">
        <v>17</v>
      </c>
      <c r="B20" s="16">
        <v>1545</v>
      </c>
      <c r="C20" s="9" t="s">
        <v>88</v>
      </c>
      <c r="D20" s="6">
        <v>34708952.609999999</v>
      </c>
      <c r="E20" s="6">
        <v>34708952.609999999</v>
      </c>
      <c r="F20" s="6">
        <v>34708952.609999999</v>
      </c>
    </row>
    <row r="21" spans="1:6" ht="17.25" customHeight="1" x14ac:dyDescent="0.3">
      <c r="A21" s="3">
        <v>18</v>
      </c>
      <c r="B21" s="16">
        <v>1546</v>
      </c>
      <c r="C21" s="9" t="s">
        <v>89</v>
      </c>
      <c r="D21" s="6">
        <v>365200</v>
      </c>
      <c r="E21" s="6">
        <v>365200</v>
      </c>
      <c r="F21" s="6">
        <v>365200</v>
      </c>
    </row>
    <row r="22" spans="1:6" ht="17.25" customHeight="1" x14ac:dyDescent="0.3">
      <c r="A22" s="3">
        <v>19</v>
      </c>
      <c r="B22" s="16">
        <v>1549</v>
      </c>
      <c r="C22" s="7" t="s">
        <v>90</v>
      </c>
      <c r="D22" s="6">
        <v>0</v>
      </c>
      <c r="E22" s="6">
        <v>0</v>
      </c>
      <c r="F22" s="6">
        <v>0</v>
      </c>
    </row>
    <row r="23" spans="1:6" ht="17.25" customHeight="1" x14ac:dyDescent="0.3">
      <c r="A23" s="3">
        <v>20</v>
      </c>
      <c r="B23" s="16">
        <v>1591</v>
      </c>
      <c r="C23" s="7" t="s">
        <v>91</v>
      </c>
      <c r="D23" s="6">
        <v>196150790.83000001</v>
      </c>
      <c r="E23" s="6">
        <v>196150790.83000001</v>
      </c>
      <c r="F23" s="6">
        <v>196150790.83000001</v>
      </c>
    </row>
    <row r="24" spans="1:6" ht="17.25" customHeight="1" x14ac:dyDescent="0.3">
      <c r="A24" s="3">
        <v>21</v>
      </c>
      <c r="B24" s="16">
        <v>1599</v>
      </c>
      <c r="C24" s="7" t="s">
        <v>92</v>
      </c>
      <c r="D24" s="6">
        <f t="shared" ref="D24:F24" si="2">19526.83+7560.89</f>
        <v>27087.72</v>
      </c>
      <c r="E24" s="6">
        <f t="shared" si="2"/>
        <v>27087.72</v>
      </c>
      <c r="F24" s="6">
        <f t="shared" si="2"/>
        <v>27087.72</v>
      </c>
    </row>
    <row r="25" spans="1:6" ht="17.25" customHeight="1" x14ac:dyDescent="0.3">
      <c r="A25" s="3">
        <v>22</v>
      </c>
      <c r="B25" s="16">
        <v>2111</v>
      </c>
      <c r="C25" s="9" t="s">
        <v>93</v>
      </c>
      <c r="D25" s="6">
        <v>45899.92</v>
      </c>
      <c r="E25" s="6">
        <v>45899.92</v>
      </c>
      <c r="F25" s="6">
        <v>45899.92</v>
      </c>
    </row>
    <row r="26" spans="1:6" ht="17.25" customHeight="1" x14ac:dyDescent="0.3">
      <c r="A26" s="3">
        <v>23</v>
      </c>
      <c r="B26" s="16">
        <v>2121</v>
      </c>
      <c r="C26" s="9" t="s">
        <v>94</v>
      </c>
      <c r="D26" s="6">
        <v>26626.13</v>
      </c>
      <c r="E26" s="6">
        <v>26626.13</v>
      </c>
      <c r="F26" s="6">
        <v>26626.13</v>
      </c>
    </row>
    <row r="27" spans="1:6" ht="17.25" customHeight="1" x14ac:dyDescent="0.3">
      <c r="A27" s="3">
        <v>24</v>
      </c>
      <c r="B27" s="16">
        <v>2141</v>
      </c>
      <c r="C27" s="9" t="s">
        <v>95</v>
      </c>
      <c r="D27" s="6">
        <v>94641.43</v>
      </c>
      <c r="E27" s="6">
        <v>94641.43</v>
      </c>
      <c r="F27" s="6">
        <v>94641.43</v>
      </c>
    </row>
    <row r="28" spans="1:6" ht="17.25" customHeight="1" x14ac:dyDescent="0.3">
      <c r="A28" s="3">
        <v>25</v>
      </c>
      <c r="B28" s="16">
        <v>2151</v>
      </c>
      <c r="C28" s="9" t="s">
        <v>96</v>
      </c>
      <c r="D28" s="6">
        <v>287387.65000000002</v>
      </c>
      <c r="E28" s="6">
        <v>287387.65000000002</v>
      </c>
      <c r="F28" s="6">
        <v>287387.65000000002</v>
      </c>
    </row>
    <row r="29" spans="1:6" ht="17.25" customHeight="1" x14ac:dyDescent="0.3">
      <c r="A29" s="3">
        <v>26</v>
      </c>
      <c r="B29" s="16">
        <v>2161</v>
      </c>
      <c r="C29" s="9" t="s">
        <v>97</v>
      </c>
      <c r="D29" s="6">
        <v>1342389.82</v>
      </c>
      <c r="E29" s="6">
        <v>1342389.82</v>
      </c>
      <c r="F29" s="6">
        <v>1342389.82</v>
      </c>
    </row>
    <row r="30" spans="1:6" ht="17.25" customHeight="1" x14ac:dyDescent="0.3">
      <c r="A30" s="3">
        <v>27</v>
      </c>
      <c r="B30" s="16">
        <v>2171</v>
      </c>
      <c r="C30" s="9" t="s">
        <v>98</v>
      </c>
      <c r="D30" s="6">
        <v>28586.2</v>
      </c>
      <c r="E30" s="6">
        <v>28586.2</v>
      </c>
      <c r="F30" s="6">
        <v>28586.2</v>
      </c>
    </row>
    <row r="31" spans="1:6" ht="17.25" customHeight="1" x14ac:dyDescent="0.3">
      <c r="A31" s="3">
        <v>28</v>
      </c>
      <c r="B31" s="16">
        <v>2181</v>
      </c>
      <c r="C31" s="7" t="s">
        <v>99</v>
      </c>
      <c r="D31" s="6">
        <v>0</v>
      </c>
      <c r="E31" s="6">
        <v>0</v>
      </c>
      <c r="F31" s="6">
        <v>0</v>
      </c>
    </row>
    <row r="32" spans="1:6" ht="17.25" customHeight="1" x14ac:dyDescent="0.3">
      <c r="A32" s="3">
        <v>29</v>
      </c>
      <c r="B32" s="16">
        <v>2211</v>
      </c>
      <c r="C32" s="9" t="s">
        <v>100</v>
      </c>
      <c r="D32" s="6">
        <v>6473532.7199999997</v>
      </c>
      <c r="E32" s="6">
        <v>6473532.7199999997</v>
      </c>
      <c r="F32" s="6">
        <v>6473532.7199999997</v>
      </c>
    </row>
    <row r="33" spans="1:6" ht="17.25" customHeight="1" x14ac:dyDescent="0.3">
      <c r="A33" s="3">
        <v>30</v>
      </c>
      <c r="B33" s="16">
        <v>2231</v>
      </c>
      <c r="C33" s="9" t="s">
        <v>101</v>
      </c>
      <c r="D33" s="6">
        <v>722176.16</v>
      </c>
      <c r="E33" s="6">
        <v>722176.16</v>
      </c>
      <c r="F33" s="6">
        <v>722176.16</v>
      </c>
    </row>
    <row r="34" spans="1:6" ht="17.25" customHeight="1" x14ac:dyDescent="0.3">
      <c r="A34" s="3">
        <v>31</v>
      </c>
      <c r="B34" s="16">
        <v>2321</v>
      </c>
      <c r="C34" s="7" t="s">
        <v>102</v>
      </c>
      <c r="D34" s="6">
        <v>0</v>
      </c>
      <c r="E34" s="6">
        <v>0</v>
      </c>
      <c r="F34" s="6">
        <v>0</v>
      </c>
    </row>
    <row r="35" spans="1:6" ht="17.25" customHeight="1" x14ac:dyDescent="0.3">
      <c r="A35" s="3">
        <v>32</v>
      </c>
      <c r="B35" s="16">
        <v>2331</v>
      </c>
      <c r="C35" s="7" t="s">
        <v>103</v>
      </c>
      <c r="D35" s="6">
        <v>58941.33</v>
      </c>
      <c r="E35" s="6">
        <v>58941.33</v>
      </c>
      <c r="F35" s="6">
        <v>58941.33</v>
      </c>
    </row>
    <row r="36" spans="1:6" ht="17.25" customHeight="1" x14ac:dyDescent="0.3">
      <c r="A36" s="3">
        <v>33</v>
      </c>
      <c r="B36" s="16">
        <v>2341</v>
      </c>
      <c r="C36" s="7" t="s">
        <v>104</v>
      </c>
      <c r="D36" s="6">
        <v>206329.74</v>
      </c>
      <c r="E36" s="6">
        <v>206329.74</v>
      </c>
      <c r="F36" s="6">
        <v>206329.74</v>
      </c>
    </row>
    <row r="37" spans="1:6" ht="17.25" customHeight="1" x14ac:dyDescent="0.3">
      <c r="A37" s="3">
        <v>34</v>
      </c>
      <c r="B37" s="16">
        <v>2391</v>
      </c>
      <c r="C37" s="7" t="s">
        <v>105</v>
      </c>
      <c r="D37" s="6">
        <v>0</v>
      </c>
      <c r="E37" s="6">
        <v>0</v>
      </c>
      <c r="F37" s="6">
        <v>0</v>
      </c>
    </row>
    <row r="38" spans="1:6" ht="17.25" customHeight="1" x14ac:dyDescent="0.3">
      <c r="A38" s="3">
        <v>35</v>
      </c>
      <c r="B38" s="16">
        <v>2419</v>
      </c>
      <c r="C38" s="7" t="s">
        <v>106</v>
      </c>
      <c r="D38" s="6">
        <v>41470</v>
      </c>
      <c r="E38" s="6">
        <v>41470</v>
      </c>
      <c r="F38" s="6">
        <v>41470</v>
      </c>
    </row>
    <row r="39" spans="1:6" ht="17.25" customHeight="1" x14ac:dyDescent="0.3">
      <c r="A39" s="3">
        <v>36</v>
      </c>
      <c r="B39" s="16">
        <v>2421</v>
      </c>
      <c r="C39" s="7" t="s">
        <v>107</v>
      </c>
      <c r="D39" s="6">
        <v>32803.22</v>
      </c>
      <c r="E39" s="6">
        <v>32803.22</v>
      </c>
      <c r="F39" s="6">
        <v>32803.22</v>
      </c>
    </row>
    <row r="40" spans="1:6" ht="17.25" customHeight="1" x14ac:dyDescent="0.3">
      <c r="A40" s="3">
        <v>37</v>
      </c>
      <c r="B40" s="16">
        <v>2431</v>
      </c>
      <c r="C40" s="7" t="s">
        <v>108</v>
      </c>
      <c r="D40" s="6">
        <v>0</v>
      </c>
      <c r="E40" s="6">
        <v>0</v>
      </c>
      <c r="F40" s="6">
        <v>0</v>
      </c>
    </row>
    <row r="41" spans="1:6" ht="17.25" customHeight="1" x14ac:dyDescent="0.3">
      <c r="A41" s="3">
        <v>38</v>
      </c>
      <c r="B41" s="16">
        <v>2441</v>
      </c>
      <c r="C41" s="7" t="s">
        <v>109</v>
      </c>
      <c r="D41" s="6">
        <v>28190.32</v>
      </c>
      <c r="E41" s="6">
        <v>28190.32</v>
      </c>
      <c r="F41" s="6">
        <v>28190.32</v>
      </c>
    </row>
    <row r="42" spans="1:6" ht="17.25" customHeight="1" x14ac:dyDescent="0.3">
      <c r="A42" s="3">
        <v>39</v>
      </c>
      <c r="B42" s="16">
        <v>2451</v>
      </c>
      <c r="C42" s="7" t="s">
        <v>110</v>
      </c>
      <c r="D42" s="6">
        <v>2000</v>
      </c>
      <c r="E42" s="6">
        <v>2000</v>
      </c>
      <c r="F42" s="6">
        <v>2000</v>
      </c>
    </row>
    <row r="43" spans="1:6" ht="17.25" customHeight="1" x14ac:dyDescent="0.3">
      <c r="A43" s="3">
        <v>40</v>
      </c>
      <c r="B43" s="16">
        <v>2461</v>
      </c>
      <c r="C43" s="7" t="s">
        <v>111</v>
      </c>
      <c r="D43" s="6">
        <v>953896.33</v>
      </c>
      <c r="E43" s="6">
        <v>953896.33</v>
      </c>
      <c r="F43" s="6">
        <v>953896.33</v>
      </c>
    </row>
    <row r="44" spans="1:6" ht="17.25" customHeight="1" x14ac:dyDescent="0.3">
      <c r="A44" s="3">
        <v>41</v>
      </c>
      <c r="B44" s="16">
        <v>2471</v>
      </c>
      <c r="C44" s="7" t="s">
        <v>112</v>
      </c>
      <c r="D44" s="6">
        <v>16741.5</v>
      </c>
      <c r="E44" s="6">
        <v>16741.5</v>
      </c>
      <c r="F44" s="6">
        <v>16741.5</v>
      </c>
    </row>
    <row r="45" spans="1:6" ht="17.25" customHeight="1" x14ac:dyDescent="0.3">
      <c r="A45" s="3">
        <v>42</v>
      </c>
      <c r="B45" s="16">
        <v>2481</v>
      </c>
      <c r="C45" s="7" t="s">
        <v>113</v>
      </c>
      <c r="D45" s="6">
        <v>3184.2</v>
      </c>
      <c r="E45" s="6">
        <v>3184.2</v>
      </c>
      <c r="F45" s="6">
        <v>3184.2</v>
      </c>
    </row>
    <row r="46" spans="1:6" ht="17.25" customHeight="1" x14ac:dyDescent="0.3">
      <c r="A46" s="3">
        <v>43</v>
      </c>
      <c r="B46" s="16">
        <v>2491</v>
      </c>
      <c r="C46" s="7" t="s">
        <v>114</v>
      </c>
      <c r="D46" s="6">
        <v>178148.2</v>
      </c>
      <c r="E46" s="6">
        <v>178148.2</v>
      </c>
      <c r="F46" s="6">
        <v>178148.2</v>
      </c>
    </row>
    <row r="47" spans="1:6" ht="17.25" customHeight="1" x14ac:dyDescent="0.3">
      <c r="A47" s="3">
        <v>44</v>
      </c>
      <c r="B47" s="16">
        <v>2511</v>
      </c>
      <c r="C47" s="9" t="s">
        <v>115</v>
      </c>
      <c r="D47" s="6">
        <v>106355.64</v>
      </c>
      <c r="E47" s="6">
        <v>106355.64</v>
      </c>
      <c r="F47" s="6">
        <v>106355.64</v>
      </c>
    </row>
    <row r="48" spans="1:6" ht="17.25" customHeight="1" x14ac:dyDescent="0.3">
      <c r="A48" s="3">
        <v>45</v>
      </c>
      <c r="B48" s="16">
        <v>2531</v>
      </c>
      <c r="C48" s="9" t="s">
        <v>116</v>
      </c>
      <c r="D48" s="6">
        <v>1185.6400000000001</v>
      </c>
      <c r="E48" s="6">
        <v>1185.6400000000001</v>
      </c>
      <c r="F48" s="6">
        <v>1185.6400000000001</v>
      </c>
    </row>
    <row r="49" spans="1:6" ht="17.25" customHeight="1" x14ac:dyDescent="0.3">
      <c r="A49" s="3">
        <v>46</v>
      </c>
      <c r="B49" s="16">
        <v>2541</v>
      </c>
      <c r="C49" s="9" t="s">
        <v>117</v>
      </c>
      <c r="D49" s="6">
        <v>458.68</v>
      </c>
      <c r="E49" s="6">
        <v>458.68</v>
      </c>
      <c r="F49" s="6">
        <v>458.68</v>
      </c>
    </row>
    <row r="50" spans="1:6" ht="17.25" customHeight="1" x14ac:dyDescent="0.3">
      <c r="A50" s="3">
        <v>47</v>
      </c>
      <c r="B50" s="16">
        <v>2551</v>
      </c>
      <c r="C50" s="9" t="s">
        <v>118</v>
      </c>
      <c r="D50" s="6">
        <v>293405.99</v>
      </c>
      <c r="E50" s="6">
        <v>293405.99</v>
      </c>
      <c r="F50" s="6">
        <v>293405.99</v>
      </c>
    </row>
    <row r="51" spans="1:6" ht="17.25" customHeight="1" x14ac:dyDescent="0.3">
      <c r="A51" s="3">
        <v>48</v>
      </c>
      <c r="B51" s="16">
        <v>2561</v>
      </c>
      <c r="C51" s="9" t="s">
        <v>119</v>
      </c>
      <c r="D51" s="6">
        <v>265654.77</v>
      </c>
      <c r="E51" s="6">
        <v>265654.77</v>
      </c>
      <c r="F51" s="6">
        <v>265654.77</v>
      </c>
    </row>
    <row r="52" spans="1:6" ht="17.25" customHeight="1" x14ac:dyDescent="0.3">
      <c r="A52" s="3">
        <v>49</v>
      </c>
      <c r="B52" s="16">
        <v>2591</v>
      </c>
      <c r="C52" s="7" t="s">
        <v>120</v>
      </c>
      <c r="D52" s="6">
        <f t="shared" ref="D52:F52" si="3">777.2+141291.37</f>
        <v>142068.57</v>
      </c>
      <c r="E52" s="6">
        <f t="shared" si="3"/>
        <v>142068.57</v>
      </c>
      <c r="F52" s="6">
        <f t="shared" si="3"/>
        <v>142068.57</v>
      </c>
    </row>
    <row r="53" spans="1:6" ht="17.25" customHeight="1" x14ac:dyDescent="0.3">
      <c r="A53" s="3">
        <v>50</v>
      </c>
      <c r="B53" s="16">
        <v>2611</v>
      </c>
      <c r="C53" s="10" t="s">
        <v>121</v>
      </c>
      <c r="D53" s="6">
        <v>371592.28</v>
      </c>
      <c r="E53" s="6">
        <v>371592.28</v>
      </c>
      <c r="F53" s="6">
        <v>371592.28</v>
      </c>
    </row>
    <row r="54" spans="1:6" ht="17.25" customHeight="1" x14ac:dyDescent="0.3">
      <c r="A54" s="3">
        <v>51</v>
      </c>
      <c r="B54" s="16">
        <v>2711</v>
      </c>
      <c r="C54" s="10" t="s">
        <v>122</v>
      </c>
      <c r="D54" s="6">
        <v>344675.44</v>
      </c>
      <c r="E54" s="6">
        <v>344675.44</v>
      </c>
      <c r="F54" s="6">
        <v>344675.44</v>
      </c>
    </row>
    <row r="55" spans="1:6" ht="17.25" customHeight="1" x14ac:dyDescent="0.3">
      <c r="A55" s="3">
        <v>52</v>
      </c>
      <c r="B55" s="16">
        <v>2721</v>
      </c>
      <c r="C55" s="10" t="s">
        <v>123</v>
      </c>
      <c r="D55" s="6">
        <v>1200038.08</v>
      </c>
      <c r="E55" s="6">
        <v>1200038.08</v>
      </c>
      <c r="F55" s="6">
        <v>1200038.08</v>
      </c>
    </row>
    <row r="56" spans="1:6" ht="17.25" customHeight="1" x14ac:dyDescent="0.3">
      <c r="A56" s="3">
        <v>53</v>
      </c>
      <c r="B56" s="16">
        <v>2731</v>
      </c>
      <c r="C56" s="10" t="s">
        <v>124</v>
      </c>
      <c r="D56" s="6">
        <v>0</v>
      </c>
      <c r="E56" s="6">
        <v>0</v>
      </c>
      <c r="F56" s="6">
        <v>0</v>
      </c>
    </row>
    <row r="57" spans="1:6" ht="17.25" customHeight="1" x14ac:dyDescent="0.3">
      <c r="A57" s="3">
        <v>54</v>
      </c>
      <c r="B57" s="16">
        <v>2741</v>
      </c>
      <c r="C57" s="10" t="s">
        <v>125</v>
      </c>
      <c r="D57" s="6">
        <v>429.93</v>
      </c>
      <c r="E57" s="6">
        <v>429.93</v>
      </c>
      <c r="F57" s="6">
        <v>429.93</v>
      </c>
    </row>
    <row r="58" spans="1:6" ht="17.25" customHeight="1" x14ac:dyDescent="0.3">
      <c r="A58" s="3">
        <v>55</v>
      </c>
      <c r="B58" s="16">
        <v>2751</v>
      </c>
      <c r="C58" s="7" t="s">
        <v>126</v>
      </c>
      <c r="D58" s="6">
        <v>0</v>
      </c>
      <c r="E58" s="6">
        <v>0</v>
      </c>
      <c r="F58" s="6">
        <v>0</v>
      </c>
    </row>
    <row r="59" spans="1:6" ht="17.25" customHeight="1" x14ac:dyDescent="0.3">
      <c r="A59" s="3">
        <v>56</v>
      </c>
      <c r="B59" s="16">
        <v>2831</v>
      </c>
      <c r="C59" s="7" t="s">
        <v>127</v>
      </c>
      <c r="D59" s="6">
        <v>0</v>
      </c>
      <c r="E59" s="6">
        <v>0</v>
      </c>
      <c r="F59" s="6">
        <v>0</v>
      </c>
    </row>
    <row r="60" spans="1:6" ht="17.25" customHeight="1" x14ac:dyDescent="0.3">
      <c r="A60" s="3">
        <v>57</v>
      </c>
      <c r="B60" s="17">
        <v>2911</v>
      </c>
      <c r="C60" s="10" t="s">
        <v>128</v>
      </c>
      <c r="D60" s="6">
        <v>41139.93</v>
      </c>
      <c r="E60" s="6">
        <v>41139.93</v>
      </c>
      <c r="F60" s="6">
        <v>41139.93</v>
      </c>
    </row>
    <row r="61" spans="1:6" ht="17.25" customHeight="1" x14ac:dyDescent="0.3">
      <c r="A61" s="3">
        <v>58</v>
      </c>
      <c r="B61" s="16">
        <v>2921</v>
      </c>
      <c r="C61" s="10" t="s">
        <v>129</v>
      </c>
      <c r="D61" s="6">
        <v>179042.34</v>
      </c>
      <c r="E61" s="6">
        <v>179042.34</v>
      </c>
      <c r="F61" s="6">
        <v>179042.34</v>
      </c>
    </row>
    <row r="62" spans="1:6" ht="17.25" customHeight="1" x14ac:dyDescent="0.3">
      <c r="A62" s="3">
        <v>59</v>
      </c>
      <c r="B62" s="16">
        <v>2931</v>
      </c>
      <c r="C62" s="10" t="s">
        <v>130</v>
      </c>
      <c r="D62" s="6">
        <v>0</v>
      </c>
      <c r="E62" s="6">
        <v>0</v>
      </c>
      <c r="F62" s="6">
        <v>0</v>
      </c>
    </row>
    <row r="63" spans="1:6" ht="17.25" customHeight="1" x14ac:dyDescent="0.3">
      <c r="A63" s="3">
        <v>60</v>
      </c>
      <c r="B63" s="16">
        <v>2941</v>
      </c>
      <c r="C63" s="10" t="s">
        <v>131</v>
      </c>
      <c r="D63" s="6">
        <v>83194.350000000006</v>
      </c>
      <c r="E63" s="6">
        <v>83194.350000000006</v>
      </c>
      <c r="F63" s="6">
        <v>83194.350000000006</v>
      </c>
    </row>
    <row r="64" spans="1:6" ht="17.25" customHeight="1" x14ac:dyDescent="0.3">
      <c r="A64" s="3">
        <v>61</v>
      </c>
      <c r="B64" s="16">
        <v>2961</v>
      </c>
      <c r="C64" s="7" t="s">
        <v>132</v>
      </c>
      <c r="D64" s="6">
        <v>315.52</v>
      </c>
      <c r="E64" s="6">
        <v>315.52</v>
      </c>
      <c r="F64" s="6">
        <v>315.52</v>
      </c>
    </row>
    <row r="65" spans="1:6" ht="17.25" customHeight="1" x14ac:dyDescent="0.3">
      <c r="A65" s="3">
        <v>62</v>
      </c>
      <c r="B65" s="16">
        <v>2991</v>
      </c>
      <c r="C65" s="7" t="s">
        <v>133</v>
      </c>
      <c r="D65" s="6">
        <v>0</v>
      </c>
      <c r="E65" s="6">
        <v>0</v>
      </c>
      <c r="F65" s="6">
        <v>0</v>
      </c>
    </row>
    <row r="66" spans="1:6" ht="17.25" customHeight="1" x14ac:dyDescent="0.3">
      <c r="A66" s="3">
        <v>63</v>
      </c>
      <c r="B66" s="16">
        <v>3111</v>
      </c>
      <c r="C66" s="7" t="s">
        <v>134</v>
      </c>
      <c r="D66" s="6">
        <v>0</v>
      </c>
      <c r="E66" s="6">
        <v>0</v>
      </c>
      <c r="F66" s="6">
        <v>0</v>
      </c>
    </row>
    <row r="67" spans="1:6" ht="17.25" customHeight="1" x14ac:dyDescent="0.3">
      <c r="A67" s="3">
        <v>64</v>
      </c>
      <c r="B67" s="16">
        <v>3112</v>
      </c>
      <c r="C67" s="10" t="s">
        <v>135</v>
      </c>
      <c r="D67" s="6">
        <v>3919298.64</v>
      </c>
      <c r="E67" s="6">
        <v>3919298.64</v>
      </c>
      <c r="F67" s="6">
        <v>3919298.64</v>
      </c>
    </row>
    <row r="68" spans="1:6" ht="17.25" customHeight="1" x14ac:dyDescent="0.3">
      <c r="A68" s="3">
        <v>65</v>
      </c>
      <c r="B68" s="16">
        <v>3131</v>
      </c>
      <c r="C68" s="10" t="s">
        <v>136</v>
      </c>
      <c r="D68" s="6">
        <v>1751188</v>
      </c>
      <c r="E68" s="6">
        <v>1751188</v>
      </c>
      <c r="F68" s="6">
        <v>1751188</v>
      </c>
    </row>
    <row r="69" spans="1:6" ht="17.25" customHeight="1" x14ac:dyDescent="0.3">
      <c r="A69" s="3">
        <v>66</v>
      </c>
      <c r="B69" s="16">
        <v>3141</v>
      </c>
      <c r="C69" s="10" t="s">
        <v>137</v>
      </c>
      <c r="D69" s="6">
        <v>461150.31</v>
      </c>
      <c r="E69" s="6">
        <v>461150.31</v>
      </c>
      <c r="F69" s="6">
        <v>461150.31</v>
      </c>
    </row>
    <row r="70" spans="1:6" ht="17.25" customHeight="1" x14ac:dyDescent="0.3">
      <c r="A70" s="3">
        <v>67</v>
      </c>
      <c r="B70" s="16">
        <v>3161</v>
      </c>
      <c r="C70" s="10" t="s">
        <v>138</v>
      </c>
      <c r="D70" s="6">
        <f t="shared" ref="D70:F70" si="4">36019+47828.76</f>
        <v>83847.760000000009</v>
      </c>
      <c r="E70" s="6">
        <f t="shared" si="4"/>
        <v>83847.760000000009</v>
      </c>
      <c r="F70" s="6">
        <f t="shared" si="4"/>
        <v>83847.760000000009</v>
      </c>
    </row>
    <row r="71" spans="1:6" ht="17.25" customHeight="1" x14ac:dyDescent="0.3">
      <c r="A71" s="3">
        <v>68</v>
      </c>
      <c r="B71" s="16">
        <v>3171</v>
      </c>
      <c r="C71" s="10" t="s">
        <v>139</v>
      </c>
      <c r="D71" s="6">
        <v>1954144.04</v>
      </c>
      <c r="E71" s="6">
        <v>1954144.04</v>
      </c>
      <c r="F71" s="6">
        <v>1954144.04</v>
      </c>
    </row>
    <row r="72" spans="1:6" ht="17.25" customHeight="1" x14ac:dyDescent="0.3">
      <c r="A72" s="3">
        <v>69</v>
      </c>
      <c r="B72" s="16">
        <v>3181</v>
      </c>
      <c r="C72" s="10" t="s">
        <v>140</v>
      </c>
      <c r="D72" s="6">
        <v>8887.93</v>
      </c>
      <c r="E72" s="6">
        <v>8887.93</v>
      </c>
      <c r="F72" s="6">
        <v>8887.93</v>
      </c>
    </row>
    <row r="73" spans="1:6" ht="17.25" customHeight="1" x14ac:dyDescent="0.3">
      <c r="A73" s="3">
        <v>70</v>
      </c>
      <c r="B73" s="16">
        <v>3191</v>
      </c>
      <c r="C73" s="7" t="s">
        <v>141</v>
      </c>
      <c r="D73" s="6">
        <v>95642</v>
      </c>
      <c r="E73" s="6">
        <v>95642</v>
      </c>
      <c r="F73" s="6">
        <v>95642</v>
      </c>
    </row>
    <row r="74" spans="1:6" ht="17.25" customHeight="1" x14ac:dyDescent="0.3">
      <c r="A74" s="3">
        <v>71</v>
      </c>
      <c r="B74" s="16">
        <v>3221</v>
      </c>
      <c r="C74" s="10" t="s">
        <v>142</v>
      </c>
      <c r="D74" s="6">
        <v>4520236.08</v>
      </c>
      <c r="E74" s="6">
        <v>4520236.08</v>
      </c>
      <c r="F74" s="6">
        <v>4520236.08</v>
      </c>
    </row>
    <row r="75" spans="1:6" ht="17.25" customHeight="1" x14ac:dyDescent="0.3">
      <c r="A75" s="3">
        <v>72</v>
      </c>
      <c r="B75" s="16">
        <v>3231</v>
      </c>
      <c r="C75" s="10" t="s">
        <v>143</v>
      </c>
      <c r="D75" s="6">
        <v>23896</v>
      </c>
      <c r="E75" s="6">
        <v>23896</v>
      </c>
      <c r="F75" s="6">
        <v>23896</v>
      </c>
    </row>
    <row r="76" spans="1:6" ht="17.25" customHeight="1" x14ac:dyDescent="0.3">
      <c r="A76" s="3">
        <v>73</v>
      </c>
      <c r="B76" s="16">
        <v>3251</v>
      </c>
      <c r="C76" s="7" t="s">
        <v>144</v>
      </c>
      <c r="D76" s="6">
        <v>0</v>
      </c>
      <c r="E76" s="6">
        <v>0</v>
      </c>
      <c r="F76" s="6">
        <v>0</v>
      </c>
    </row>
    <row r="77" spans="1:6" ht="17.25" customHeight="1" x14ac:dyDescent="0.3">
      <c r="A77" s="3">
        <v>74</v>
      </c>
      <c r="B77" s="16">
        <v>3271</v>
      </c>
      <c r="C77" s="10" t="s">
        <v>145</v>
      </c>
      <c r="D77" s="6">
        <v>440265.95</v>
      </c>
      <c r="E77" s="6">
        <v>440265.95</v>
      </c>
      <c r="F77" s="6">
        <v>440265.95</v>
      </c>
    </row>
    <row r="78" spans="1:6" ht="17.25" customHeight="1" x14ac:dyDescent="0.3">
      <c r="A78" s="3">
        <v>75</v>
      </c>
      <c r="B78" s="16">
        <v>3291</v>
      </c>
      <c r="C78" s="10" t="s">
        <v>146</v>
      </c>
      <c r="D78" s="6">
        <v>0</v>
      </c>
      <c r="E78" s="6">
        <v>0</v>
      </c>
      <c r="F78" s="6">
        <v>0</v>
      </c>
    </row>
    <row r="79" spans="1:6" ht="17.25" customHeight="1" x14ac:dyDescent="0.3">
      <c r="A79" s="3">
        <v>76</v>
      </c>
      <c r="B79" s="16">
        <v>3311</v>
      </c>
      <c r="C79" s="10" t="s">
        <v>147</v>
      </c>
      <c r="D79" s="6">
        <v>344525.99</v>
      </c>
      <c r="E79" s="6">
        <v>344525.99</v>
      </c>
      <c r="F79" s="6">
        <v>344525.99</v>
      </c>
    </row>
    <row r="80" spans="1:6" ht="17.25" customHeight="1" x14ac:dyDescent="0.3">
      <c r="A80" s="3">
        <v>77</v>
      </c>
      <c r="B80" s="16">
        <v>3321</v>
      </c>
      <c r="C80" s="7" t="s">
        <v>148</v>
      </c>
      <c r="D80" s="6">
        <v>1419838.29</v>
      </c>
      <c r="E80" s="6">
        <v>1419838.29</v>
      </c>
      <c r="F80" s="6">
        <v>1419838.29</v>
      </c>
    </row>
    <row r="81" spans="1:6" ht="17.25" customHeight="1" x14ac:dyDescent="0.3">
      <c r="A81" s="3">
        <v>78</v>
      </c>
      <c r="B81" s="16">
        <v>3331</v>
      </c>
      <c r="C81" s="10" t="s">
        <v>149</v>
      </c>
      <c r="D81" s="6">
        <v>928827.28</v>
      </c>
      <c r="E81" s="6">
        <v>928827.28</v>
      </c>
      <c r="F81" s="6">
        <v>928827.28</v>
      </c>
    </row>
    <row r="82" spans="1:6" ht="17.25" customHeight="1" x14ac:dyDescent="0.3">
      <c r="A82" s="3">
        <v>79</v>
      </c>
      <c r="B82" s="16">
        <v>3341</v>
      </c>
      <c r="C82" s="10" t="s">
        <v>150</v>
      </c>
      <c r="D82" s="6">
        <v>10944.6</v>
      </c>
      <c r="E82" s="6">
        <v>10944.6</v>
      </c>
      <c r="F82" s="6">
        <v>10944.6</v>
      </c>
    </row>
    <row r="83" spans="1:6" ht="17.25" customHeight="1" x14ac:dyDescent="0.3">
      <c r="A83" s="3">
        <v>80</v>
      </c>
      <c r="B83" s="16">
        <v>3351</v>
      </c>
      <c r="C83" s="10" t="s">
        <v>151</v>
      </c>
      <c r="D83" s="6">
        <v>0</v>
      </c>
      <c r="E83" s="6">
        <v>0</v>
      </c>
      <c r="F83" s="6">
        <v>0</v>
      </c>
    </row>
    <row r="84" spans="1:6" ht="17.25" customHeight="1" x14ac:dyDescent="0.3">
      <c r="A84" s="3">
        <v>81</v>
      </c>
      <c r="B84" s="16">
        <v>3361</v>
      </c>
      <c r="C84" s="10" t="s">
        <v>152</v>
      </c>
      <c r="D84" s="6">
        <v>324862.90000000002</v>
      </c>
      <c r="E84" s="6">
        <v>324862.90000000002</v>
      </c>
      <c r="F84" s="6">
        <v>324862.90000000002</v>
      </c>
    </row>
    <row r="85" spans="1:6" ht="17.25" customHeight="1" x14ac:dyDescent="0.3">
      <c r="A85" s="3">
        <v>82</v>
      </c>
      <c r="B85" s="16">
        <v>3362</v>
      </c>
      <c r="C85" s="10" t="s">
        <v>153</v>
      </c>
      <c r="D85" s="6">
        <v>260708.36</v>
      </c>
      <c r="E85" s="6">
        <v>260708.36</v>
      </c>
      <c r="F85" s="6">
        <v>260708.36</v>
      </c>
    </row>
    <row r="86" spans="1:6" ht="17.25" customHeight="1" x14ac:dyDescent="0.3">
      <c r="A86" s="3">
        <v>83</v>
      </c>
      <c r="B86" s="16">
        <v>3381</v>
      </c>
      <c r="C86" s="10" t="s">
        <v>154</v>
      </c>
      <c r="D86" s="6">
        <v>15115897.699999999</v>
      </c>
      <c r="E86" s="6">
        <v>15115897.699999999</v>
      </c>
      <c r="F86" s="6">
        <v>15115897.699999999</v>
      </c>
    </row>
    <row r="87" spans="1:6" ht="17.25" customHeight="1" x14ac:dyDescent="0.3">
      <c r="A87" s="3">
        <v>84</v>
      </c>
      <c r="B87" s="16">
        <v>3391</v>
      </c>
      <c r="C87" s="10" t="s">
        <v>155</v>
      </c>
      <c r="D87" s="6">
        <v>320705.2</v>
      </c>
      <c r="E87" s="6">
        <v>320705.2</v>
      </c>
      <c r="F87" s="6">
        <v>320705.2</v>
      </c>
    </row>
    <row r="88" spans="1:6" ht="17.25" customHeight="1" x14ac:dyDescent="0.3">
      <c r="A88" s="3">
        <v>85</v>
      </c>
      <c r="B88" s="16">
        <v>3411</v>
      </c>
      <c r="C88" s="7" t="s">
        <v>156</v>
      </c>
      <c r="D88" s="6">
        <v>0</v>
      </c>
      <c r="E88" s="6">
        <v>0</v>
      </c>
      <c r="F88" s="6">
        <v>0</v>
      </c>
    </row>
    <row r="89" spans="1:6" ht="17.25" customHeight="1" x14ac:dyDescent="0.3">
      <c r="A89" s="3">
        <v>86</v>
      </c>
      <c r="B89" s="16">
        <v>3451</v>
      </c>
      <c r="C89" s="10" t="s">
        <v>157</v>
      </c>
      <c r="D89" s="6">
        <v>96857.18</v>
      </c>
      <c r="E89" s="6">
        <v>96857.18</v>
      </c>
      <c r="F89" s="6">
        <v>96857.18</v>
      </c>
    </row>
    <row r="90" spans="1:6" ht="17.25" customHeight="1" x14ac:dyDescent="0.3">
      <c r="A90" s="3">
        <v>87</v>
      </c>
      <c r="B90" s="16">
        <v>3461</v>
      </c>
      <c r="C90" s="10" t="s">
        <v>158</v>
      </c>
      <c r="D90" s="6">
        <v>0</v>
      </c>
      <c r="E90" s="6">
        <v>0</v>
      </c>
      <c r="F90" s="6">
        <v>0</v>
      </c>
    </row>
    <row r="91" spans="1:6" ht="17.25" customHeight="1" x14ac:dyDescent="0.3">
      <c r="A91" s="3">
        <v>88</v>
      </c>
      <c r="B91" s="16">
        <v>3471</v>
      </c>
      <c r="C91" s="10" t="s">
        <v>159</v>
      </c>
      <c r="D91" s="6">
        <v>0</v>
      </c>
      <c r="E91" s="6">
        <v>0</v>
      </c>
      <c r="F91" s="6">
        <v>0</v>
      </c>
    </row>
    <row r="92" spans="1:6" ht="17.25" customHeight="1" x14ac:dyDescent="0.3">
      <c r="A92" s="3">
        <v>89</v>
      </c>
      <c r="B92" s="16">
        <v>3511</v>
      </c>
      <c r="C92" s="10" t="s">
        <v>160</v>
      </c>
      <c r="D92" s="6">
        <v>0</v>
      </c>
      <c r="E92" s="6">
        <v>0</v>
      </c>
      <c r="F92" s="6">
        <v>0</v>
      </c>
    </row>
    <row r="93" spans="1:6" ht="17.25" customHeight="1" x14ac:dyDescent="0.3">
      <c r="A93" s="3">
        <v>90</v>
      </c>
      <c r="B93" s="16">
        <v>3521</v>
      </c>
      <c r="C93" s="10" t="s">
        <v>161</v>
      </c>
      <c r="D93" s="6">
        <v>1044</v>
      </c>
      <c r="E93" s="6">
        <v>1044</v>
      </c>
      <c r="F93" s="6">
        <v>1044</v>
      </c>
    </row>
    <row r="94" spans="1:6" ht="17.25" customHeight="1" x14ac:dyDescent="0.3">
      <c r="A94" s="3">
        <v>91</v>
      </c>
      <c r="B94" s="16">
        <v>3531</v>
      </c>
      <c r="C94" s="10" t="s">
        <v>162</v>
      </c>
      <c r="D94" s="6">
        <v>44344</v>
      </c>
      <c r="E94" s="6">
        <v>44344</v>
      </c>
      <c r="F94" s="6">
        <v>44344</v>
      </c>
    </row>
    <row r="95" spans="1:6" ht="17.25" customHeight="1" x14ac:dyDescent="0.3">
      <c r="A95" s="3">
        <v>92</v>
      </c>
      <c r="B95" s="16">
        <v>3541</v>
      </c>
      <c r="C95" s="10" t="s">
        <v>163</v>
      </c>
      <c r="D95" s="6">
        <v>156855.20000000001</v>
      </c>
      <c r="E95" s="6">
        <v>156855.20000000001</v>
      </c>
      <c r="F95" s="6">
        <v>156855.20000000001</v>
      </c>
    </row>
    <row r="96" spans="1:6" ht="17.25" customHeight="1" x14ac:dyDescent="0.3">
      <c r="A96" s="3">
        <v>93</v>
      </c>
      <c r="B96" s="16">
        <v>3553</v>
      </c>
      <c r="C96" s="10" t="s">
        <v>164</v>
      </c>
      <c r="D96" s="6">
        <v>154832.59</v>
      </c>
      <c r="E96" s="6">
        <v>154832.59</v>
      </c>
      <c r="F96" s="6">
        <v>154832.59</v>
      </c>
    </row>
    <row r="97" spans="1:6" ht="17.25" customHeight="1" x14ac:dyDescent="0.3">
      <c r="A97" s="3">
        <v>94</v>
      </c>
      <c r="B97" s="16">
        <v>3561</v>
      </c>
      <c r="C97" s="10" t="s">
        <v>165</v>
      </c>
      <c r="D97" s="6">
        <f t="shared" ref="D97:F97" si="5">82170.78+188573.08</f>
        <v>270743.86</v>
      </c>
      <c r="E97" s="6">
        <f t="shared" si="5"/>
        <v>270743.86</v>
      </c>
      <c r="F97" s="6">
        <f t="shared" si="5"/>
        <v>270743.86</v>
      </c>
    </row>
    <row r="98" spans="1:6" ht="17.25" customHeight="1" x14ac:dyDescent="0.3">
      <c r="A98" s="3">
        <v>95</v>
      </c>
      <c r="B98" s="16">
        <v>3571</v>
      </c>
      <c r="C98" s="10" t="s">
        <v>166</v>
      </c>
      <c r="D98" s="6">
        <v>335189.49</v>
      </c>
      <c r="E98" s="6">
        <v>335189.49</v>
      </c>
      <c r="F98" s="6">
        <v>335189.49</v>
      </c>
    </row>
    <row r="99" spans="1:6" ht="17.25" customHeight="1" x14ac:dyDescent="0.3">
      <c r="A99" s="3">
        <v>96</v>
      </c>
      <c r="B99" s="16">
        <v>3581</v>
      </c>
      <c r="C99" s="10" t="s">
        <v>167</v>
      </c>
      <c r="D99" s="6">
        <v>117455.8</v>
      </c>
      <c r="E99" s="6">
        <v>117455.8</v>
      </c>
      <c r="F99" s="6">
        <v>117455.8</v>
      </c>
    </row>
    <row r="100" spans="1:6" ht="17.25" customHeight="1" x14ac:dyDescent="0.3">
      <c r="A100" s="3">
        <v>97</v>
      </c>
      <c r="B100" s="16">
        <v>3591</v>
      </c>
      <c r="C100" s="10" t="s">
        <v>168</v>
      </c>
      <c r="D100" s="6">
        <v>83549</v>
      </c>
      <c r="E100" s="6">
        <v>83549</v>
      </c>
      <c r="F100" s="6">
        <v>83549</v>
      </c>
    </row>
    <row r="101" spans="1:6" ht="17.25" customHeight="1" x14ac:dyDescent="0.3">
      <c r="A101" s="3">
        <v>98</v>
      </c>
      <c r="B101" s="16">
        <v>3611</v>
      </c>
      <c r="C101" s="12" t="s">
        <v>169</v>
      </c>
      <c r="D101" s="6">
        <v>642765.56999999995</v>
      </c>
      <c r="E101" s="6">
        <v>642765.56999999995</v>
      </c>
      <c r="F101" s="6">
        <v>642765.56999999995</v>
      </c>
    </row>
    <row r="102" spans="1:6" ht="17.25" customHeight="1" x14ac:dyDescent="0.3">
      <c r="A102" s="3">
        <v>99</v>
      </c>
      <c r="B102" s="16">
        <v>3631</v>
      </c>
      <c r="C102" s="7" t="s">
        <v>170</v>
      </c>
      <c r="D102" s="6">
        <v>0</v>
      </c>
      <c r="E102" s="6">
        <v>0</v>
      </c>
      <c r="F102" s="6">
        <v>0</v>
      </c>
    </row>
    <row r="103" spans="1:6" ht="17.25" customHeight="1" x14ac:dyDescent="0.3">
      <c r="A103" s="3">
        <v>100</v>
      </c>
      <c r="B103" s="16">
        <v>3651</v>
      </c>
      <c r="C103" s="10" t="s">
        <v>171</v>
      </c>
      <c r="D103" s="6">
        <v>0</v>
      </c>
      <c r="E103" s="6">
        <v>0</v>
      </c>
      <c r="F103" s="6">
        <v>0</v>
      </c>
    </row>
    <row r="104" spans="1:6" ht="17.25" customHeight="1" x14ac:dyDescent="0.3">
      <c r="A104" s="3">
        <v>101</v>
      </c>
      <c r="B104" s="16">
        <v>3661</v>
      </c>
      <c r="C104" s="7" t="s">
        <v>172</v>
      </c>
      <c r="D104" s="6">
        <v>0</v>
      </c>
      <c r="E104" s="6">
        <v>0</v>
      </c>
      <c r="F104" s="6">
        <v>0</v>
      </c>
    </row>
    <row r="105" spans="1:6" ht="17.25" customHeight="1" x14ac:dyDescent="0.3">
      <c r="A105" s="3">
        <v>102</v>
      </c>
      <c r="B105" s="16">
        <v>3711</v>
      </c>
      <c r="C105" s="10" t="s">
        <v>173</v>
      </c>
      <c r="D105" s="6">
        <v>6469</v>
      </c>
      <c r="E105" s="6">
        <v>6469</v>
      </c>
      <c r="F105" s="6">
        <v>6469</v>
      </c>
    </row>
    <row r="106" spans="1:6" ht="17.25" customHeight="1" x14ac:dyDescent="0.3">
      <c r="A106" s="3">
        <v>103</v>
      </c>
      <c r="B106" s="16">
        <v>3712</v>
      </c>
      <c r="C106" s="10" t="s">
        <v>174</v>
      </c>
      <c r="D106" s="6">
        <v>85525.95</v>
      </c>
      <c r="E106" s="6">
        <v>85525.95</v>
      </c>
      <c r="F106" s="6">
        <v>85525.95</v>
      </c>
    </row>
    <row r="107" spans="1:6" ht="17.25" customHeight="1" x14ac:dyDescent="0.3">
      <c r="A107" s="3">
        <v>104</v>
      </c>
      <c r="B107" s="16">
        <v>3721</v>
      </c>
      <c r="C107" s="10" t="s">
        <v>175</v>
      </c>
      <c r="D107" s="6">
        <v>0</v>
      </c>
      <c r="E107" s="6">
        <v>0</v>
      </c>
      <c r="F107" s="6">
        <v>0</v>
      </c>
    </row>
    <row r="108" spans="1:6" ht="17.25" customHeight="1" x14ac:dyDescent="0.3">
      <c r="A108" s="3">
        <v>105</v>
      </c>
      <c r="B108" s="16">
        <v>3722</v>
      </c>
      <c r="C108" s="10" t="s">
        <v>176</v>
      </c>
      <c r="D108" s="6">
        <v>7990</v>
      </c>
      <c r="E108" s="6">
        <v>7990</v>
      </c>
      <c r="F108" s="6">
        <v>7990</v>
      </c>
    </row>
    <row r="109" spans="1:6" ht="17.25" customHeight="1" x14ac:dyDescent="0.3">
      <c r="A109" s="3">
        <v>106</v>
      </c>
      <c r="B109" s="16">
        <v>3723</v>
      </c>
      <c r="C109" s="7" t="s">
        <v>177</v>
      </c>
      <c r="D109" s="6">
        <v>0</v>
      </c>
      <c r="E109" s="6">
        <v>0</v>
      </c>
      <c r="F109" s="6">
        <v>0</v>
      </c>
    </row>
    <row r="110" spans="1:6" ht="17.25" customHeight="1" x14ac:dyDescent="0.3">
      <c r="A110" s="3">
        <v>107</v>
      </c>
      <c r="B110" s="16">
        <v>3741</v>
      </c>
      <c r="C110" s="7" t="s">
        <v>178</v>
      </c>
      <c r="D110" s="6">
        <v>0</v>
      </c>
      <c r="E110" s="6">
        <v>0</v>
      </c>
      <c r="F110" s="6">
        <v>0</v>
      </c>
    </row>
    <row r="111" spans="1:6" ht="17.25" customHeight="1" x14ac:dyDescent="0.3">
      <c r="A111" s="3">
        <v>108</v>
      </c>
      <c r="B111" s="16">
        <v>3751</v>
      </c>
      <c r="C111" s="10" t="s">
        <v>179</v>
      </c>
      <c r="D111" s="6">
        <v>23104.16</v>
      </c>
      <c r="E111" s="6">
        <v>23104.16</v>
      </c>
      <c r="F111" s="6">
        <v>23104.16</v>
      </c>
    </row>
    <row r="112" spans="1:6" ht="17.25" customHeight="1" x14ac:dyDescent="0.3">
      <c r="A112" s="3">
        <v>109</v>
      </c>
      <c r="B112" s="16">
        <v>3761</v>
      </c>
      <c r="C112" s="10" t="s">
        <v>180</v>
      </c>
      <c r="D112" s="6">
        <v>38650.269999999997</v>
      </c>
      <c r="E112" s="6">
        <v>38650.269999999997</v>
      </c>
      <c r="F112" s="6">
        <v>38650.269999999997</v>
      </c>
    </row>
    <row r="113" spans="1:6" ht="17.25" customHeight="1" x14ac:dyDescent="0.3">
      <c r="A113" s="3">
        <v>110</v>
      </c>
      <c r="B113" s="16">
        <v>3781</v>
      </c>
      <c r="C113" s="7" t="s">
        <v>181</v>
      </c>
      <c r="D113" s="6">
        <v>0</v>
      </c>
      <c r="E113" s="6">
        <v>0</v>
      </c>
      <c r="F113" s="6">
        <v>0</v>
      </c>
    </row>
    <row r="114" spans="1:6" ht="17.25" customHeight="1" x14ac:dyDescent="0.3">
      <c r="A114" s="3">
        <v>111</v>
      </c>
      <c r="B114" s="16">
        <v>3791</v>
      </c>
      <c r="C114" s="7" t="s">
        <v>182</v>
      </c>
      <c r="D114" s="6">
        <v>0</v>
      </c>
      <c r="E114" s="6">
        <v>0</v>
      </c>
      <c r="F114" s="6">
        <v>0</v>
      </c>
    </row>
    <row r="115" spans="1:6" ht="17.25" customHeight="1" x14ac:dyDescent="0.3">
      <c r="A115" s="3">
        <v>112</v>
      </c>
      <c r="B115" s="16">
        <v>3823</v>
      </c>
      <c r="C115" s="10" t="s">
        <v>183</v>
      </c>
      <c r="D115" s="6">
        <v>679629.53</v>
      </c>
      <c r="E115" s="6">
        <v>679629.53</v>
      </c>
      <c r="F115" s="6">
        <v>679629.53</v>
      </c>
    </row>
    <row r="116" spans="1:6" ht="17.25" customHeight="1" x14ac:dyDescent="0.3">
      <c r="A116" s="3">
        <v>113</v>
      </c>
      <c r="B116" s="16">
        <v>3831</v>
      </c>
      <c r="C116" s="10" t="s">
        <v>184</v>
      </c>
      <c r="D116" s="6">
        <v>287167.33</v>
      </c>
      <c r="E116" s="6">
        <v>287167.33</v>
      </c>
      <c r="F116" s="6">
        <v>287167.33</v>
      </c>
    </row>
    <row r="117" spans="1:6" ht="17.25" customHeight="1" x14ac:dyDescent="0.3">
      <c r="A117" s="3">
        <v>114</v>
      </c>
      <c r="B117" s="16">
        <v>3832</v>
      </c>
      <c r="C117" s="10" t="s">
        <v>185</v>
      </c>
      <c r="D117" s="6">
        <v>9031.27</v>
      </c>
      <c r="E117" s="6">
        <v>9031.27</v>
      </c>
      <c r="F117" s="6">
        <v>9031.27</v>
      </c>
    </row>
    <row r="118" spans="1:6" ht="17.25" customHeight="1" x14ac:dyDescent="0.3">
      <c r="A118" s="3">
        <v>115</v>
      </c>
      <c r="B118" s="16">
        <v>3921</v>
      </c>
      <c r="C118" s="7" t="s">
        <v>186</v>
      </c>
      <c r="D118" s="6">
        <v>101029.88</v>
      </c>
      <c r="E118" s="6">
        <v>101029.88</v>
      </c>
      <c r="F118" s="6">
        <v>101029.88</v>
      </c>
    </row>
    <row r="119" spans="1:6" ht="17.25" customHeight="1" x14ac:dyDescent="0.3">
      <c r="A119" s="3">
        <v>116</v>
      </c>
      <c r="B119" s="16">
        <v>3969</v>
      </c>
      <c r="C119" s="7" t="s">
        <v>187</v>
      </c>
      <c r="D119" s="6">
        <v>0</v>
      </c>
      <c r="E119" s="6">
        <v>0</v>
      </c>
      <c r="F119" s="6">
        <v>0</v>
      </c>
    </row>
    <row r="120" spans="1:6" ht="17.25" customHeight="1" x14ac:dyDescent="0.3">
      <c r="A120" s="3">
        <v>117</v>
      </c>
      <c r="B120" s="16">
        <v>3981</v>
      </c>
      <c r="C120" s="7" t="s">
        <v>188</v>
      </c>
      <c r="D120" s="6">
        <v>11768131</v>
      </c>
      <c r="E120" s="6">
        <v>11768131</v>
      </c>
      <c r="F120" s="6">
        <v>11768131</v>
      </c>
    </row>
    <row r="121" spans="1:6" ht="17.25" customHeight="1" x14ac:dyDescent="0.3">
      <c r="A121" s="3">
        <v>118</v>
      </c>
      <c r="B121" s="16">
        <v>4121</v>
      </c>
      <c r="C121" s="7" t="s">
        <v>189</v>
      </c>
      <c r="D121" s="6">
        <v>0</v>
      </c>
      <c r="E121" s="6">
        <v>0</v>
      </c>
      <c r="F121" s="6">
        <v>0</v>
      </c>
    </row>
    <row r="122" spans="1:6" ht="17.25" customHeight="1" x14ac:dyDescent="0.3">
      <c r="A122" s="3">
        <v>119</v>
      </c>
      <c r="B122" s="16">
        <v>4411</v>
      </c>
      <c r="C122" s="10" t="s">
        <v>190</v>
      </c>
      <c r="D122" s="6">
        <v>0</v>
      </c>
      <c r="E122" s="6">
        <v>0</v>
      </c>
      <c r="F122" s="6">
        <v>0</v>
      </c>
    </row>
    <row r="123" spans="1:6" ht="17.25" customHeight="1" x14ac:dyDescent="0.3">
      <c r="A123" s="3">
        <v>120</v>
      </c>
      <c r="B123" s="16">
        <v>4419</v>
      </c>
      <c r="C123" s="10" t="s">
        <v>191</v>
      </c>
      <c r="D123" s="6">
        <v>25760</v>
      </c>
      <c r="E123" s="6">
        <v>25760</v>
      </c>
      <c r="F123" s="6">
        <v>25760</v>
      </c>
    </row>
    <row r="124" spans="1:6" ht="17.25" customHeight="1" x14ac:dyDescent="0.3">
      <c r="A124" s="3">
        <v>121</v>
      </c>
      <c r="B124" s="16">
        <v>4421</v>
      </c>
      <c r="C124" s="10" t="s">
        <v>192</v>
      </c>
      <c r="D124" s="6">
        <v>17219494.399999999</v>
      </c>
      <c r="E124" s="6">
        <v>17219494.399999999</v>
      </c>
      <c r="F124" s="6">
        <v>17219494.399999999</v>
      </c>
    </row>
    <row r="125" spans="1:6" ht="17.25" customHeight="1" x14ac:dyDescent="0.3">
      <c r="A125" s="3">
        <v>122</v>
      </c>
      <c r="B125" s="16">
        <v>4441</v>
      </c>
      <c r="C125" s="10" t="s">
        <v>193</v>
      </c>
      <c r="D125" s="6">
        <v>431413.42</v>
      </c>
      <c r="E125" s="6">
        <v>431413.42</v>
      </c>
      <c r="F125" s="6">
        <v>431413.42</v>
      </c>
    </row>
    <row r="126" spans="1:6" ht="17.25" customHeight="1" x14ac:dyDescent="0.3">
      <c r="A126" s="3">
        <v>123</v>
      </c>
      <c r="B126" s="16">
        <v>5111</v>
      </c>
      <c r="C126" s="10" t="s">
        <v>194</v>
      </c>
      <c r="D126" s="6">
        <v>436171.86</v>
      </c>
      <c r="E126" s="6">
        <v>436171.86</v>
      </c>
      <c r="F126" s="6">
        <v>436171.86</v>
      </c>
    </row>
    <row r="127" spans="1:6" ht="17.25" customHeight="1" x14ac:dyDescent="0.3">
      <c r="A127" s="3">
        <v>124</v>
      </c>
      <c r="B127" s="16">
        <v>5131</v>
      </c>
      <c r="C127" s="10" t="s">
        <v>195</v>
      </c>
      <c r="D127" s="6">
        <v>155062.69</v>
      </c>
      <c r="E127" s="6">
        <v>155062.69</v>
      </c>
      <c r="F127" s="6">
        <v>155062.69</v>
      </c>
    </row>
    <row r="128" spans="1:6" ht="17.25" customHeight="1" x14ac:dyDescent="0.3">
      <c r="A128" s="3">
        <v>125</v>
      </c>
      <c r="B128" s="16">
        <v>5151</v>
      </c>
      <c r="C128" s="10" t="s">
        <v>196</v>
      </c>
      <c r="D128" s="6">
        <v>3666006.26</v>
      </c>
      <c r="E128" s="6">
        <v>3666006.26</v>
      </c>
      <c r="F128" s="6">
        <v>3666006.26</v>
      </c>
    </row>
    <row r="129" spans="1:6" ht="17.25" customHeight="1" x14ac:dyDescent="0.3">
      <c r="A129" s="3">
        <v>126</v>
      </c>
      <c r="B129" s="16">
        <v>5191</v>
      </c>
      <c r="C129" s="10" t="s">
        <v>197</v>
      </c>
      <c r="D129" s="6">
        <v>25578</v>
      </c>
      <c r="E129" s="6">
        <v>25578</v>
      </c>
      <c r="F129" s="6">
        <v>25578</v>
      </c>
    </row>
    <row r="130" spans="1:6" ht="17.25" customHeight="1" x14ac:dyDescent="0.3">
      <c r="A130" s="3">
        <v>127</v>
      </c>
      <c r="B130" s="16">
        <v>5211</v>
      </c>
      <c r="C130" s="10" t="s">
        <v>198</v>
      </c>
      <c r="D130" s="6">
        <v>186802.83</v>
      </c>
      <c r="E130" s="6">
        <v>186802.83</v>
      </c>
      <c r="F130" s="6">
        <v>186802.83</v>
      </c>
    </row>
    <row r="131" spans="1:6" ht="17.25" customHeight="1" x14ac:dyDescent="0.3">
      <c r="A131" s="3">
        <v>128</v>
      </c>
      <c r="B131" s="16">
        <v>5231</v>
      </c>
      <c r="C131" s="10" t="s">
        <v>199</v>
      </c>
      <c r="D131" s="6">
        <v>98706.72</v>
      </c>
      <c r="E131" s="6">
        <v>98706.72</v>
      </c>
      <c r="F131" s="6">
        <v>98706.72</v>
      </c>
    </row>
    <row r="132" spans="1:6" ht="17.25" customHeight="1" x14ac:dyDescent="0.3">
      <c r="A132" s="3">
        <v>129</v>
      </c>
      <c r="B132" s="16">
        <v>5291</v>
      </c>
      <c r="C132" s="10" t="s">
        <v>200</v>
      </c>
      <c r="D132" s="6">
        <v>66120</v>
      </c>
      <c r="E132" s="6">
        <v>66120</v>
      </c>
      <c r="F132" s="6">
        <v>66120</v>
      </c>
    </row>
    <row r="133" spans="1:6" ht="17.25" customHeight="1" x14ac:dyDescent="0.3">
      <c r="A133" s="3">
        <v>130</v>
      </c>
      <c r="B133" s="16">
        <v>5311</v>
      </c>
      <c r="C133" s="10" t="s">
        <v>201</v>
      </c>
      <c r="D133" s="6">
        <v>82379.45</v>
      </c>
      <c r="E133" s="6">
        <v>82379.45</v>
      </c>
      <c r="F133" s="6">
        <v>82379.45</v>
      </c>
    </row>
    <row r="134" spans="1:6" ht="17.25" customHeight="1" x14ac:dyDescent="0.3">
      <c r="A134" s="3">
        <v>131</v>
      </c>
      <c r="B134" s="16">
        <v>5321</v>
      </c>
      <c r="C134" s="10" t="s">
        <v>202</v>
      </c>
      <c r="D134" s="6">
        <v>2818.8</v>
      </c>
      <c r="E134" s="6">
        <v>2818.8</v>
      </c>
      <c r="F134" s="6">
        <v>2818.8</v>
      </c>
    </row>
    <row r="135" spans="1:6" ht="17.25" customHeight="1" x14ac:dyDescent="0.3">
      <c r="A135" s="3">
        <v>132</v>
      </c>
      <c r="B135" s="16">
        <v>5411</v>
      </c>
      <c r="C135" s="7" t="s">
        <v>203</v>
      </c>
      <c r="D135" s="6">
        <v>0</v>
      </c>
      <c r="E135" s="6">
        <v>0</v>
      </c>
      <c r="F135" s="6">
        <v>0</v>
      </c>
    </row>
    <row r="136" spans="1:6" ht="17.25" customHeight="1" x14ac:dyDescent="0.3">
      <c r="A136" s="3">
        <v>133</v>
      </c>
      <c r="B136" s="16">
        <v>5621</v>
      </c>
      <c r="C136" s="7" t="s">
        <v>204</v>
      </c>
      <c r="D136" s="6">
        <v>1480.78</v>
      </c>
      <c r="E136" s="6">
        <v>1480.78</v>
      </c>
      <c r="F136" s="6">
        <v>1480.78</v>
      </c>
    </row>
    <row r="137" spans="1:6" ht="17.25" customHeight="1" x14ac:dyDescent="0.3">
      <c r="A137" s="3">
        <v>134</v>
      </c>
      <c r="B137" s="16">
        <v>5631</v>
      </c>
      <c r="C137" s="7" t="s">
        <v>205</v>
      </c>
      <c r="D137" s="6">
        <v>0</v>
      </c>
      <c r="E137" s="6">
        <v>0</v>
      </c>
      <c r="F137" s="6">
        <v>0</v>
      </c>
    </row>
    <row r="138" spans="1:6" ht="17.25" customHeight="1" x14ac:dyDescent="0.3">
      <c r="A138" s="3">
        <v>135</v>
      </c>
      <c r="B138" s="16">
        <v>5641</v>
      </c>
      <c r="C138" s="7" t="s">
        <v>206</v>
      </c>
      <c r="D138" s="6">
        <v>166936.76</v>
      </c>
      <c r="E138" s="6">
        <v>166936.76</v>
      </c>
      <c r="F138" s="6">
        <v>166936.76</v>
      </c>
    </row>
    <row r="139" spans="1:6" ht="17.25" customHeight="1" x14ac:dyDescent="0.3">
      <c r="A139" s="3">
        <v>136</v>
      </c>
      <c r="B139" s="16">
        <v>5651</v>
      </c>
      <c r="C139" s="7" t="s">
        <v>207</v>
      </c>
      <c r="D139" s="6">
        <v>284999.99</v>
      </c>
      <c r="E139" s="6">
        <v>284999.99</v>
      </c>
      <c r="F139" s="6">
        <v>284999.99</v>
      </c>
    </row>
    <row r="140" spans="1:6" ht="17.25" customHeight="1" x14ac:dyDescent="0.3">
      <c r="A140" s="3">
        <v>137</v>
      </c>
      <c r="B140" s="16">
        <v>5661</v>
      </c>
      <c r="C140" s="7" t="s">
        <v>208</v>
      </c>
      <c r="D140" s="6">
        <v>22835.42</v>
      </c>
      <c r="E140" s="6">
        <v>22835.42</v>
      </c>
      <c r="F140" s="6">
        <v>22835.42</v>
      </c>
    </row>
    <row r="141" spans="1:6" ht="17.25" customHeight="1" x14ac:dyDescent="0.3">
      <c r="A141" s="3">
        <v>138</v>
      </c>
      <c r="B141" s="16">
        <v>5671</v>
      </c>
      <c r="C141" s="7" t="s">
        <v>209</v>
      </c>
      <c r="D141" s="6">
        <v>0</v>
      </c>
      <c r="E141" s="6">
        <v>0</v>
      </c>
      <c r="F141" s="6">
        <v>0</v>
      </c>
    </row>
    <row r="142" spans="1:6" ht="17.25" customHeight="1" x14ac:dyDescent="0.3">
      <c r="A142" s="3">
        <v>139</v>
      </c>
      <c r="B142" s="16">
        <v>5691</v>
      </c>
      <c r="C142" s="7" t="s">
        <v>210</v>
      </c>
      <c r="D142" s="6">
        <v>47676</v>
      </c>
      <c r="E142" s="6">
        <v>47676</v>
      </c>
      <c r="F142" s="6">
        <v>47676</v>
      </c>
    </row>
    <row r="143" spans="1:6" ht="17.25" customHeight="1" x14ac:dyDescent="0.3">
      <c r="A143" s="3">
        <v>140</v>
      </c>
      <c r="B143" s="16">
        <v>5811</v>
      </c>
      <c r="C143" s="7" t="s">
        <v>211</v>
      </c>
      <c r="D143" s="6">
        <v>0</v>
      </c>
      <c r="E143" s="6">
        <v>0</v>
      </c>
      <c r="F143" s="6">
        <v>0</v>
      </c>
    </row>
    <row r="144" spans="1:6" ht="17.25" customHeight="1" x14ac:dyDescent="0.3">
      <c r="A144" s="3">
        <v>141</v>
      </c>
      <c r="B144" s="16">
        <v>5911</v>
      </c>
      <c r="C144" s="7" t="s">
        <v>212</v>
      </c>
      <c r="D144" s="6">
        <v>0</v>
      </c>
      <c r="E144" s="6">
        <v>0</v>
      </c>
      <c r="F144" s="6">
        <v>0</v>
      </c>
    </row>
    <row r="145" spans="1:6" ht="17.25" customHeight="1" x14ac:dyDescent="0.3">
      <c r="A145" s="3">
        <v>142</v>
      </c>
      <c r="B145" s="16">
        <v>5941</v>
      </c>
      <c r="C145" s="7" t="s">
        <v>213</v>
      </c>
      <c r="D145" s="6">
        <v>0</v>
      </c>
      <c r="E145" s="6">
        <v>0</v>
      </c>
      <c r="F145" s="6">
        <v>0</v>
      </c>
    </row>
    <row r="146" spans="1:6" ht="17.25" customHeight="1" x14ac:dyDescent="0.3">
      <c r="A146" s="3">
        <v>143</v>
      </c>
      <c r="B146" s="16">
        <v>1131</v>
      </c>
      <c r="C146" s="7" t="s">
        <v>72</v>
      </c>
      <c r="D146" s="6">
        <v>164351604.03999999</v>
      </c>
      <c r="E146" s="6">
        <v>164351604.03999999</v>
      </c>
      <c r="F146" s="6">
        <v>164351604.03999999</v>
      </c>
    </row>
    <row r="147" spans="1:6" ht="17.25" customHeight="1" x14ac:dyDescent="0.3">
      <c r="A147" s="3">
        <v>144</v>
      </c>
      <c r="B147" s="16">
        <v>1211</v>
      </c>
      <c r="C147" s="7" t="s">
        <v>73</v>
      </c>
      <c r="D147" s="6">
        <v>4259985.25</v>
      </c>
      <c r="E147" s="6">
        <v>4259985.25</v>
      </c>
      <c r="F147" s="6">
        <v>4259985.25</v>
      </c>
    </row>
    <row r="148" spans="1:6" ht="17.25" customHeight="1" x14ac:dyDescent="0.3">
      <c r="A148" s="3">
        <v>145</v>
      </c>
      <c r="B148" s="16">
        <v>1312</v>
      </c>
      <c r="C148" s="7" t="s">
        <v>74</v>
      </c>
      <c r="D148" s="6">
        <v>10770.96</v>
      </c>
      <c r="E148" s="6">
        <v>10770.96</v>
      </c>
      <c r="F148" s="6">
        <v>10770.96</v>
      </c>
    </row>
    <row r="149" spans="1:6" ht="17.25" customHeight="1" x14ac:dyDescent="0.3">
      <c r="A149" s="3">
        <v>146</v>
      </c>
      <c r="B149" s="16">
        <v>1321</v>
      </c>
      <c r="C149" s="8" t="s">
        <v>75</v>
      </c>
      <c r="D149" s="6">
        <v>14097907.710000001</v>
      </c>
      <c r="E149" s="6">
        <v>14097907.710000001</v>
      </c>
      <c r="F149" s="6">
        <v>14097907.710000001</v>
      </c>
    </row>
    <row r="150" spans="1:6" ht="17.25" customHeight="1" x14ac:dyDescent="0.3">
      <c r="A150" s="3">
        <v>147</v>
      </c>
      <c r="B150" s="16">
        <v>1323</v>
      </c>
      <c r="C150" s="8" t="s">
        <v>76</v>
      </c>
      <c r="D150" s="6">
        <f t="shared" ref="D150:F150" si="6">128462.72+2424.44</f>
        <v>130887.16</v>
      </c>
      <c r="E150" s="6">
        <f t="shared" si="6"/>
        <v>130887.16</v>
      </c>
      <c r="F150" s="6">
        <f t="shared" si="6"/>
        <v>130887.16</v>
      </c>
    </row>
    <row r="151" spans="1:6" ht="17.25" customHeight="1" x14ac:dyDescent="0.3">
      <c r="A151" s="3">
        <v>148</v>
      </c>
      <c r="B151" s="16">
        <v>1331</v>
      </c>
      <c r="C151" s="8" t="s">
        <v>77</v>
      </c>
      <c r="D151" s="6">
        <v>545623.67000000004</v>
      </c>
      <c r="E151" s="6">
        <v>545623.67000000004</v>
      </c>
      <c r="F151" s="6">
        <v>545623.67000000004</v>
      </c>
    </row>
    <row r="152" spans="1:6" ht="17.25" customHeight="1" x14ac:dyDescent="0.3">
      <c r="A152" s="3">
        <v>149</v>
      </c>
      <c r="B152" s="16">
        <v>1342</v>
      </c>
      <c r="C152" s="8" t="s">
        <v>78</v>
      </c>
      <c r="D152" s="6">
        <v>46776</v>
      </c>
      <c r="E152" s="6">
        <v>46776</v>
      </c>
      <c r="F152" s="6">
        <v>46776</v>
      </c>
    </row>
    <row r="153" spans="1:6" ht="17.25" customHeight="1" x14ac:dyDescent="0.3">
      <c r="A153" s="3">
        <v>150</v>
      </c>
      <c r="B153" s="16">
        <v>1411</v>
      </c>
      <c r="C153" s="9" t="s">
        <v>79</v>
      </c>
      <c r="D153" s="6">
        <v>8161410.0999999996</v>
      </c>
      <c r="E153" s="6">
        <v>8161410.0999999996</v>
      </c>
      <c r="F153" s="6">
        <v>8161410.0999999996</v>
      </c>
    </row>
    <row r="154" spans="1:6" ht="17.25" customHeight="1" x14ac:dyDescent="0.3">
      <c r="A154" s="3">
        <v>151</v>
      </c>
      <c r="B154" s="16">
        <v>1421</v>
      </c>
      <c r="C154" s="9" t="s">
        <v>80</v>
      </c>
      <c r="D154" s="6">
        <v>1953472.16</v>
      </c>
      <c r="E154" s="6">
        <v>1953472.16</v>
      </c>
      <c r="F154" s="6">
        <v>1953472.16</v>
      </c>
    </row>
    <row r="155" spans="1:6" ht="17.25" customHeight="1" x14ac:dyDescent="0.3">
      <c r="A155" s="3">
        <v>152</v>
      </c>
      <c r="B155" s="16">
        <v>1431</v>
      </c>
      <c r="C155" s="9" t="s">
        <v>81</v>
      </c>
      <c r="D155" s="6">
        <v>2235894.85</v>
      </c>
      <c r="E155" s="6">
        <v>2235894.85</v>
      </c>
      <c r="F155" s="6">
        <v>2235894.85</v>
      </c>
    </row>
    <row r="156" spans="1:6" ht="17.25" customHeight="1" x14ac:dyDescent="0.3">
      <c r="A156" s="3">
        <v>153</v>
      </c>
      <c r="B156" s="16">
        <v>1441</v>
      </c>
      <c r="C156" s="9" t="s">
        <v>82</v>
      </c>
      <c r="D156" s="6">
        <v>5475868.1799999997</v>
      </c>
      <c r="E156" s="6">
        <v>5475868.1799999997</v>
      </c>
      <c r="F156" s="6">
        <v>5475868.1799999997</v>
      </c>
    </row>
    <row r="157" spans="1:6" ht="17.25" customHeight="1" x14ac:dyDescent="0.3">
      <c r="A157" s="3">
        <v>154</v>
      </c>
      <c r="B157" s="16">
        <v>1443</v>
      </c>
      <c r="C157" s="9" t="s">
        <v>83</v>
      </c>
      <c r="D157" s="6">
        <v>0</v>
      </c>
      <c r="E157" s="6">
        <v>0</v>
      </c>
      <c r="F157" s="6">
        <v>0</v>
      </c>
    </row>
    <row r="158" spans="1:6" ht="17.25" customHeight="1" x14ac:dyDescent="0.3">
      <c r="A158" s="3">
        <v>155</v>
      </c>
      <c r="B158" s="16">
        <v>1521</v>
      </c>
      <c r="C158" s="9" t="s">
        <v>84</v>
      </c>
      <c r="D158" s="6">
        <v>544666.36</v>
      </c>
      <c r="E158" s="6">
        <v>544666.36</v>
      </c>
      <c r="F158" s="6">
        <v>544666.36</v>
      </c>
    </row>
    <row r="159" spans="1:6" ht="17.25" customHeight="1" x14ac:dyDescent="0.3">
      <c r="A159" s="3">
        <v>156</v>
      </c>
      <c r="B159" s="16">
        <v>1541</v>
      </c>
      <c r="C159" s="9" t="s">
        <v>85</v>
      </c>
      <c r="D159" s="6">
        <f t="shared" ref="D159:F159" si="7">841650.32+3719990.33</f>
        <v>4561640.6500000004</v>
      </c>
      <c r="E159" s="6">
        <f t="shared" si="7"/>
        <v>4561640.6500000004</v>
      </c>
      <c r="F159" s="6">
        <f t="shared" si="7"/>
        <v>4561640.6500000004</v>
      </c>
    </row>
    <row r="160" spans="1:6" ht="17.25" customHeight="1" x14ac:dyDescent="0.3">
      <c r="A160" s="3">
        <v>157</v>
      </c>
      <c r="B160" s="16">
        <v>1542</v>
      </c>
      <c r="C160" s="9" t="s">
        <v>86</v>
      </c>
      <c r="D160" s="6">
        <v>38647.800000000003</v>
      </c>
      <c r="E160" s="6">
        <v>38647.800000000003</v>
      </c>
      <c r="F160" s="6">
        <v>38647.800000000003</v>
      </c>
    </row>
    <row r="161" spans="1:6" ht="17.25" customHeight="1" x14ac:dyDescent="0.3">
      <c r="A161" s="3">
        <v>158</v>
      </c>
      <c r="B161" s="16">
        <v>1543</v>
      </c>
      <c r="C161" s="9" t="s">
        <v>87</v>
      </c>
      <c r="D161" s="6">
        <v>269345.59999999998</v>
      </c>
      <c r="E161" s="6">
        <v>269345.59999999998</v>
      </c>
      <c r="F161" s="6">
        <v>269345.59999999998</v>
      </c>
    </row>
    <row r="162" spans="1:6" ht="17.25" customHeight="1" x14ac:dyDescent="0.3">
      <c r="A162" s="3">
        <v>159</v>
      </c>
      <c r="B162" s="16">
        <v>1545</v>
      </c>
      <c r="C162" s="9" t="s">
        <v>88</v>
      </c>
      <c r="D162" s="6">
        <v>34708952.609999999</v>
      </c>
      <c r="E162" s="6">
        <v>34708952.609999999</v>
      </c>
      <c r="F162" s="6">
        <v>34708952.609999999</v>
      </c>
    </row>
    <row r="163" spans="1:6" ht="17.25" customHeight="1" x14ac:dyDescent="0.3">
      <c r="A163" s="3">
        <v>160</v>
      </c>
      <c r="B163" s="16">
        <v>1546</v>
      </c>
      <c r="C163" s="9" t="s">
        <v>89</v>
      </c>
      <c r="D163" s="6">
        <v>365200</v>
      </c>
      <c r="E163" s="6">
        <v>365200</v>
      </c>
      <c r="F163" s="6">
        <v>365200</v>
      </c>
    </row>
    <row r="164" spans="1:6" ht="17.25" customHeight="1" x14ac:dyDescent="0.3">
      <c r="A164" s="3">
        <v>161</v>
      </c>
      <c r="B164" s="16">
        <v>1549</v>
      </c>
      <c r="C164" s="7" t="s">
        <v>90</v>
      </c>
      <c r="D164" s="6">
        <v>0</v>
      </c>
      <c r="E164" s="6">
        <v>0</v>
      </c>
      <c r="F164" s="6">
        <v>0</v>
      </c>
    </row>
    <row r="165" spans="1:6" ht="17.25" customHeight="1" x14ac:dyDescent="0.3">
      <c r="A165" s="3">
        <v>162</v>
      </c>
      <c r="B165" s="16">
        <v>1591</v>
      </c>
      <c r="C165" s="7" t="s">
        <v>91</v>
      </c>
      <c r="D165" s="6">
        <v>196150790.83000001</v>
      </c>
      <c r="E165" s="6">
        <v>196150790.83000001</v>
      </c>
      <c r="F165" s="6">
        <v>196150790.83000001</v>
      </c>
    </row>
    <row r="166" spans="1:6" ht="17.25" customHeight="1" x14ac:dyDescent="0.3">
      <c r="A166" s="3">
        <v>163</v>
      </c>
      <c r="B166" s="16">
        <v>1599</v>
      </c>
      <c r="C166" s="7" t="s">
        <v>92</v>
      </c>
      <c r="D166" s="6">
        <f t="shared" ref="D166:F166" si="8">19526.83+7560.89</f>
        <v>27087.72</v>
      </c>
      <c r="E166" s="6">
        <f t="shared" si="8"/>
        <v>27087.72</v>
      </c>
      <c r="F166" s="6">
        <f t="shared" si="8"/>
        <v>27087.72</v>
      </c>
    </row>
    <row r="167" spans="1:6" ht="17.25" customHeight="1" x14ac:dyDescent="0.3">
      <c r="A167" s="3">
        <v>164</v>
      </c>
      <c r="B167" s="16">
        <v>2111</v>
      </c>
      <c r="C167" s="9" t="s">
        <v>93</v>
      </c>
      <c r="D167" s="6">
        <v>45899.92</v>
      </c>
      <c r="E167" s="6">
        <v>45899.92</v>
      </c>
      <c r="F167" s="6">
        <v>45899.92</v>
      </c>
    </row>
    <row r="168" spans="1:6" ht="17.25" customHeight="1" x14ac:dyDescent="0.3">
      <c r="A168" s="3">
        <v>165</v>
      </c>
      <c r="B168" s="16">
        <v>2121</v>
      </c>
      <c r="C168" s="9" t="s">
        <v>94</v>
      </c>
      <c r="D168" s="6">
        <v>26626.13</v>
      </c>
      <c r="E168" s="6">
        <v>26626.13</v>
      </c>
      <c r="F168" s="6">
        <v>26626.13</v>
      </c>
    </row>
    <row r="169" spans="1:6" ht="17.25" customHeight="1" x14ac:dyDescent="0.3">
      <c r="A169" s="3">
        <v>166</v>
      </c>
      <c r="B169" s="16">
        <v>2141</v>
      </c>
      <c r="C169" s="9" t="s">
        <v>95</v>
      </c>
      <c r="D169" s="6">
        <v>94641.43</v>
      </c>
      <c r="E169" s="6">
        <v>94641.43</v>
      </c>
      <c r="F169" s="6">
        <v>94641.43</v>
      </c>
    </row>
    <row r="170" spans="1:6" ht="17.25" customHeight="1" x14ac:dyDescent="0.3">
      <c r="A170" s="3">
        <v>167</v>
      </c>
      <c r="B170" s="16">
        <v>2151</v>
      </c>
      <c r="C170" s="9" t="s">
        <v>96</v>
      </c>
      <c r="D170" s="6">
        <v>287387.65000000002</v>
      </c>
      <c r="E170" s="6">
        <v>287387.65000000002</v>
      </c>
      <c r="F170" s="6">
        <v>287387.65000000002</v>
      </c>
    </row>
    <row r="171" spans="1:6" ht="17.25" customHeight="1" x14ac:dyDescent="0.3">
      <c r="A171" s="3">
        <v>168</v>
      </c>
      <c r="B171" s="16">
        <v>2161</v>
      </c>
      <c r="C171" s="9" t="s">
        <v>97</v>
      </c>
      <c r="D171" s="6">
        <v>1342389.82</v>
      </c>
      <c r="E171" s="6">
        <v>1342389.82</v>
      </c>
      <c r="F171" s="6">
        <v>1342389.82</v>
      </c>
    </row>
    <row r="172" spans="1:6" ht="17.25" customHeight="1" x14ac:dyDescent="0.3">
      <c r="A172" s="3">
        <v>169</v>
      </c>
      <c r="B172" s="16">
        <v>2171</v>
      </c>
      <c r="C172" s="9" t="s">
        <v>98</v>
      </c>
      <c r="D172" s="6">
        <v>28586.2</v>
      </c>
      <c r="E172" s="6">
        <v>28586.2</v>
      </c>
      <c r="F172" s="6">
        <v>28586.2</v>
      </c>
    </row>
    <row r="173" spans="1:6" ht="17.25" customHeight="1" x14ac:dyDescent="0.3">
      <c r="A173" s="3">
        <v>170</v>
      </c>
      <c r="B173" s="16">
        <v>2181</v>
      </c>
      <c r="C173" s="7" t="s">
        <v>99</v>
      </c>
      <c r="D173" s="6">
        <v>0</v>
      </c>
      <c r="E173" s="6">
        <v>0</v>
      </c>
      <c r="F173" s="6">
        <v>0</v>
      </c>
    </row>
    <row r="174" spans="1:6" ht="17.25" customHeight="1" x14ac:dyDescent="0.3">
      <c r="A174" s="3">
        <v>171</v>
      </c>
      <c r="B174" s="16">
        <v>2211</v>
      </c>
      <c r="C174" s="9" t="s">
        <v>100</v>
      </c>
      <c r="D174" s="6">
        <v>6473532.7199999997</v>
      </c>
      <c r="E174" s="6">
        <v>6473532.7199999997</v>
      </c>
      <c r="F174" s="6">
        <v>6473532.7199999997</v>
      </c>
    </row>
    <row r="175" spans="1:6" ht="17.25" customHeight="1" x14ac:dyDescent="0.3">
      <c r="A175" s="3">
        <v>172</v>
      </c>
      <c r="B175" s="16">
        <v>2231</v>
      </c>
      <c r="C175" s="9" t="s">
        <v>101</v>
      </c>
      <c r="D175" s="6">
        <v>722176.16</v>
      </c>
      <c r="E175" s="6">
        <v>722176.16</v>
      </c>
      <c r="F175" s="6">
        <v>722176.16</v>
      </c>
    </row>
    <row r="176" spans="1:6" ht="17.25" customHeight="1" x14ac:dyDescent="0.3">
      <c r="A176" s="3">
        <v>173</v>
      </c>
      <c r="B176" s="16">
        <v>2321</v>
      </c>
      <c r="C176" s="7" t="s">
        <v>102</v>
      </c>
      <c r="D176" s="6">
        <v>0</v>
      </c>
      <c r="E176" s="6">
        <v>0</v>
      </c>
      <c r="F176" s="6">
        <v>0</v>
      </c>
    </row>
    <row r="177" spans="1:6" ht="17.25" customHeight="1" x14ac:dyDescent="0.3">
      <c r="A177" s="3">
        <v>174</v>
      </c>
      <c r="B177" s="16">
        <v>2331</v>
      </c>
      <c r="C177" s="7" t="s">
        <v>103</v>
      </c>
      <c r="D177" s="6">
        <v>58941.33</v>
      </c>
      <c r="E177" s="6">
        <v>58941.33</v>
      </c>
      <c r="F177" s="6">
        <v>58941.33</v>
      </c>
    </row>
    <row r="178" spans="1:6" ht="17.25" customHeight="1" x14ac:dyDescent="0.3">
      <c r="A178" s="3">
        <v>175</v>
      </c>
      <c r="B178" s="16">
        <v>2341</v>
      </c>
      <c r="C178" s="7" t="s">
        <v>104</v>
      </c>
      <c r="D178" s="6">
        <v>206329.74</v>
      </c>
      <c r="E178" s="6">
        <v>206329.74</v>
      </c>
      <c r="F178" s="6">
        <v>206329.74</v>
      </c>
    </row>
    <row r="179" spans="1:6" ht="17.25" customHeight="1" x14ac:dyDescent="0.3">
      <c r="A179" s="3">
        <v>176</v>
      </c>
      <c r="B179" s="16">
        <v>2391</v>
      </c>
      <c r="C179" s="7" t="s">
        <v>105</v>
      </c>
      <c r="D179" s="6">
        <v>0</v>
      </c>
      <c r="E179" s="6">
        <v>0</v>
      </c>
      <c r="F179" s="6">
        <v>0</v>
      </c>
    </row>
    <row r="180" spans="1:6" ht="17.25" customHeight="1" x14ac:dyDescent="0.3">
      <c r="A180" s="3">
        <v>177</v>
      </c>
      <c r="B180" s="16">
        <v>2419</v>
      </c>
      <c r="C180" s="7" t="s">
        <v>106</v>
      </c>
      <c r="D180" s="6">
        <v>41470</v>
      </c>
      <c r="E180" s="6">
        <v>41470</v>
      </c>
      <c r="F180" s="6">
        <v>41470</v>
      </c>
    </row>
    <row r="181" spans="1:6" ht="17.25" customHeight="1" x14ac:dyDescent="0.3">
      <c r="A181" s="3">
        <v>178</v>
      </c>
      <c r="B181" s="16">
        <v>2421</v>
      </c>
      <c r="C181" s="7" t="s">
        <v>107</v>
      </c>
      <c r="D181" s="6">
        <v>32803.22</v>
      </c>
      <c r="E181" s="6">
        <v>32803.22</v>
      </c>
      <c r="F181" s="6">
        <v>32803.22</v>
      </c>
    </row>
    <row r="182" spans="1:6" ht="17.25" customHeight="1" x14ac:dyDescent="0.3">
      <c r="A182" s="3">
        <v>179</v>
      </c>
      <c r="B182" s="16">
        <v>2431</v>
      </c>
      <c r="C182" s="7" t="s">
        <v>108</v>
      </c>
      <c r="D182" s="6">
        <v>0</v>
      </c>
      <c r="E182" s="6">
        <v>0</v>
      </c>
      <c r="F182" s="6">
        <v>0</v>
      </c>
    </row>
    <row r="183" spans="1:6" ht="17.25" customHeight="1" x14ac:dyDescent="0.3">
      <c r="A183" s="3">
        <v>180</v>
      </c>
      <c r="B183" s="16">
        <v>2441</v>
      </c>
      <c r="C183" s="7" t="s">
        <v>109</v>
      </c>
      <c r="D183" s="6">
        <v>28190.32</v>
      </c>
      <c r="E183" s="6">
        <v>28190.32</v>
      </c>
      <c r="F183" s="6">
        <v>28190.32</v>
      </c>
    </row>
    <row r="184" spans="1:6" ht="17.25" customHeight="1" x14ac:dyDescent="0.3">
      <c r="A184" s="3">
        <v>181</v>
      </c>
      <c r="B184" s="16">
        <v>2451</v>
      </c>
      <c r="C184" s="7" t="s">
        <v>110</v>
      </c>
      <c r="D184" s="6">
        <v>2000</v>
      </c>
      <c r="E184" s="6">
        <v>2000</v>
      </c>
      <c r="F184" s="6">
        <v>2000</v>
      </c>
    </row>
    <row r="185" spans="1:6" ht="17.25" customHeight="1" x14ac:dyDescent="0.3">
      <c r="A185" s="3">
        <v>182</v>
      </c>
      <c r="B185" s="16">
        <v>2461</v>
      </c>
      <c r="C185" s="7" t="s">
        <v>111</v>
      </c>
      <c r="D185" s="6">
        <v>953896.33</v>
      </c>
      <c r="E185" s="6">
        <v>953896.33</v>
      </c>
      <c r="F185" s="6">
        <v>953896.33</v>
      </c>
    </row>
    <row r="186" spans="1:6" ht="17.25" customHeight="1" x14ac:dyDescent="0.3">
      <c r="A186" s="3">
        <v>183</v>
      </c>
      <c r="B186" s="16">
        <v>2471</v>
      </c>
      <c r="C186" s="7" t="s">
        <v>112</v>
      </c>
      <c r="D186" s="6">
        <v>16741.5</v>
      </c>
      <c r="E186" s="6">
        <v>16741.5</v>
      </c>
      <c r="F186" s="6">
        <v>16741.5</v>
      </c>
    </row>
    <row r="187" spans="1:6" ht="17.25" customHeight="1" x14ac:dyDescent="0.3">
      <c r="A187" s="3">
        <v>184</v>
      </c>
      <c r="B187" s="16">
        <v>2481</v>
      </c>
      <c r="C187" s="7" t="s">
        <v>113</v>
      </c>
      <c r="D187" s="6">
        <v>3184.2</v>
      </c>
      <c r="E187" s="6">
        <v>3184.2</v>
      </c>
      <c r="F187" s="6">
        <v>3184.2</v>
      </c>
    </row>
    <row r="188" spans="1:6" ht="17.25" customHeight="1" x14ac:dyDescent="0.3">
      <c r="A188" s="3">
        <v>185</v>
      </c>
      <c r="B188" s="16">
        <v>2491</v>
      </c>
      <c r="C188" s="7" t="s">
        <v>114</v>
      </c>
      <c r="D188" s="6">
        <v>178148.2</v>
      </c>
      <c r="E188" s="6">
        <v>178148.2</v>
      </c>
      <c r="F188" s="6">
        <v>178148.2</v>
      </c>
    </row>
    <row r="189" spans="1:6" ht="17.25" customHeight="1" x14ac:dyDescent="0.3">
      <c r="A189" s="3">
        <v>186</v>
      </c>
      <c r="B189" s="16">
        <v>2511</v>
      </c>
      <c r="C189" s="9" t="s">
        <v>115</v>
      </c>
      <c r="D189" s="6">
        <v>106355.64</v>
      </c>
      <c r="E189" s="6">
        <v>106355.64</v>
      </c>
      <c r="F189" s="6">
        <v>106355.64</v>
      </c>
    </row>
    <row r="190" spans="1:6" ht="17.25" customHeight="1" x14ac:dyDescent="0.3">
      <c r="A190" s="3">
        <v>187</v>
      </c>
      <c r="B190" s="16">
        <v>2531</v>
      </c>
      <c r="C190" s="9" t="s">
        <v>116</v>
      </c>
      <c r="D190" s="6">
        <v>1185.6400000000001</v>
      </c>
      <c r="E190" s="6">
        <v>1185.6400000000001</v>
      </c>
      <c r="F190" s="6">
        <v>1185.6400000000001</v>
      </c>
    </row>
    <row r="191" spans="1:6" ht="17.25" customHeight="1" x14ac:dyDescent="0.3">
      <c r="A191" s="3">
        <v>188</v>
      </c>
      <c r="B191" s="16">
        <v>2541</v>
      </c>
      <c r="C191" s="9" t="s">
        <v>117</v>
      </c>
      <c r="D191" s="6">
        <v>458.68</v>
      </c>
      <c r="E191" s="6">
        <v>458.68</v>
      </c>
      <c r="F191" s="6">
        <v>458.68</v>
      </c>
    </row>
    <row r="192" spans="1:6" ht="17.25" customHeight="1" x14ac:dyDescent="0.3">
      <c r="A192" s="3">
        <v>189</v>
      </c>
      <c r="B192" s="16">
        <v>2551</v>
      </c>
      <c r="C192" s="9" t="s">
        <v>118</v>
      </c>
      <c r="D192" s="6">
        <v>293405.99</v>
      </c>
      <c r="E192" s="6">
        <v>293405.99</v>
      </c>
      <c r="F192" s="6">
        <v>293405.99</v>
      </c>
    </row>
    <row r="193" spans="1:6" ht="17.25" customHeight="1" x14ac:dyDescent="0.3">
      <c r="A193" s="3">
        <v>190</v>
      </c>
      <c r="B193" s="16">
        <v>2561</v>
      </c>
      <c r="C193" s="9" t="s">
        <v>119</v>
      </c>
      <c r="D193" s="6">
        <v>265654.77</v>
      </c>
      <c r="E193" s="6">
        <v>265654.77</v>
      </c>
      <c r="F193" s="6">
        <v>265654.77</v>
      </c>
    </row>
    <row r="194" spans="1:6" ht="17.25" customHeight="1" x14ac:dyDescent="0.3">
      <c r="A194" s="3">
        <v>191</v>
      </c>
      <c r="B194" s="16">
        <v>2591</v>
      </c>
      <c r="C194" s="7" t="s">
        <v>120</v>
      </c>
      <c r="D194" s="6">
        <f t="shared" ref="D194:F194" si="9">777.2+141291.37</f>
        <v>142068.57</v>
      </c>
      <c r="E194" s="6">
        <f t="shared" si="9"/>
        <v>142068.57</v>
      </c>
      <c r="F194" s="6">
        <f t="shared" si="9"/>
        <v>142068.57</v>
      </c>
    </row>
    <row r="195" spans="1:6" ht="17.25" customHeight="1" x14ac:dyDescent="0.3">
      <c r="A195" s="3">
        <v>192</v>
      </c>
      <c r="B195" s="16">
        <v>2611</v>
      </c>
      <c r="C195" s="10" t="s">
        <v>121</v>
      </c>
      <c r="D195" s="6">
        <v>371592.28</v>
      </c>
      <c r="E195" s="6">
        <v>371592.28</v>
      </c>
      <c r="F195" s="6">
        <v>371592.28</v>
      </c>
    </row>
    <row r="196" spans="1:6" ht="17.25" customHeight="1" x14ac:dyDescent="0.3">
      <c r="A196" s="3">
        <v>193</v>
      </c>
      <c r="B196" s="16">
        <v>2711</v>
      </c>
      <c r="C196" s="10" t="s">
        <v>122</v>
      </c>
      <c r="D196" s="6">
        <v>344675.44</v>
      </c>
      <c r="E196" s="6">
        <v>344675.44</v>
      </c>
      <c r="F196" s="6">
        <v>344675.44</v>
      </c>
    </row>
    <row r="197" spans="1:6" ht="17.25" customHeight="1" x14ac:dyDescent="0.3">
      <c r="A197" s="3">
        <v>194</v>
      </c>
      <c r="B197" s="16">
        <v>2721</v>
      </c>
      <c r="C197" s="10" t="s">
        <v>123</v>
      </c>
      <c r="D197" s="6">
        <v>1200038.08</v>
      </c>
      <c r="E197" s="6">
        <v>1200038.08</v>
      </c>
      <c r="F197" s="6">
        <v>1200038.08</v>
      </c>
    </row>
    <row r="198" spans="1:6" ht="17.25" customHeight="1" x14ac:dyDescent="0.3">
      <c r="A198" s="3">
        <v>195</v>
      </c>
      <c r="B198" s="16">
        <v>2731</v>
      </c>
      <c r="C198" s="10" t="s">
        <v>124</v>
      </c>
      <c r="D198" s="6">
        <v>0</v>
      </c>
      <c r="E198" s="6">
        <v>0</v>
      </c>
      <c r="F198" s="6">
        <v>0</v>
      </c>
    </row>
    <row r="199" spans="1:6" ht="17.25" customHeight="1" x14ac:dyDescent="0.3">
      <c r="A199" s="3">
        <v>196</v>
      </c>
      <c r="B199" s="16">
        <v>2741</v>
      </c>
      <c r="C199" s="10" t="s">
        <v>125</v>
      </c>
      <c r="D199" s="6">
        <v>429.93</v>
      </c>
      <c r="E199" s="6">
        <v>429.93</v>
      </c>
      <c r="F199" s="6">
        <v>429.93</v>
      </c>
    </row>
    <row r="200" spans="1:6" ht="17.25" customHeight="1" x14ac:dyDescent="0.3">
      <c r="A200" s="3">
        <v>197</v>
      </c>
      <c r="B200" s="16">
        <v>2751</v>
      </c>
      <c r="C200" s="7" t="s">
        <v>126</v>
      </c>
      <c r="D200" s="6">
        <v>0</v>
      </c>
      <c r="E200" s="6">
        <v>0</v>
      </c>
      <c r="F200" s="6">
        <v>0</v>
      </c>
    </row>
    <row r="201" spans="1:6" ht="17.25" customHeight="1" x14ac:dyDescent="0.3">
      <c r="A201" s="3">
        <v>198</v>
      </c>
      <c r="B201" s="16">
        <v>2831</v>
      </c>
      <c r="C201" s="7" t="s">
        <v>127</v>
      </c>
      <c r="D201" s="6">
        <v>0</v>
      </c>
      <c r="E201" s="6">
        <v>0</v>
      </c>
      <c r="F201" s="6">
        <v>0</v>
      </c>
    </row>
    <row r="202" spans="1:6" ht="17.25" customHeight="1" x14ac:dyDescent="0.3">
      <c r="A202" s="3">
        <v>199</v>
      </c>
      <c r="B202" s="17">
        <v>2911</v>
      </c>
      <c r="C202" s="10" t="s">
        <v>128</v>
      </c>
      <c r="D202" s="6">
        <v>41139.93</v>
      </c>
      <c r="E202" s="6">
        <v>41139.93</v>
      </c>
      <c r="F202" s="6">
        <v>41139.93</v>
      </c>
    </row>
    <row r="203" spans="1:6" ht="17.25" customHeight="1" x14ac:dyDescent="0.3">
      <c r="A203" s="3">
        <v>200</v>
      </c>
      <c r="B203" s="16">
        <v>2921</v>
      </c>
      <c r="C203" s="10" t="s">
        <v>129</v>
      </c>
      <c r="D203" s="6">
        <v>179042.34</v>
      </c>
      <c r="E203" s="6">
        <v>179042.34</v>
      </c>
      <c r="F203" s="6">
        <v>179042.34</v>
      </c>
    </row>
    <row r="204" spans="1:6" ht="17.25" customHeight="1" x14ac:dyDescent="0.3">
      <c r="A204" s="3">
        <v>201</v>
      </c>
      <c r="B204" s="16">
        <v>2931</v>
      </c>
      <c r="C204" s="10" t="s">
        <v>130</v>
      </c>
      <c r="D204" s="6">
        <v>0</v>
      </c>
      <c r="E204" s="6">
        <v>0</v>
      </c>
      <c r="F204" s="6">
        <v>0</v>
      </c>
    </row>
    <row r="205" spans="1:6" ht="17.25" customHeight="1" x14ac:dyDescent="0.3">
      <c r="A205" s="3">
        <v>202</v>
      </c>
      <c r="B205" s="16">
        <v>2941</v>
      </c>
      <c r="C205" s="10" t="s">
        <v>131</v>
      </c>
      <c r="D205" s="6">
        <v>83194.350000000006</v>
      </c>
      <c r="E205" s="6">
        <v>83194.350000000006</v>
      </c>
      <c r="F205" s="6">
        <v>83194.350000000006</v>
      </c>
    </row>
    <row r="206" spans="1:6" ht="17.25" customHeight="1" x14ac:dyDescent="0.3">
      <c r="A206" s="3">
        <v>203</v>
      </c>
      <c r="B206" s="16">
        <v>2961</v>
      </c>
      <c r="C206" s="7" t="s">
        <v>132</v>
      </c>
      <c r="D206" s="6">
        <v>315.52</v>
      </c>
      <c r="E206" s="6">
        <v>315.52</v>
      </c>
      <c r="F206" s="6">
        <v>315.52</v>
      </c>
    </row>
    <row r="207" spans="1:6" ht="17.25" customHeight="1" x14ac:dyDescent="0.3">
      <c r="A207" s="3">
        <v>204</v>
      </c>
      <c r="B207" s="16">
        <v>2991</v>
      </c>
      <c r="C207" s="7" t="s">
        <v>133</v>
      </c>
      <c r="D207" s="6">
        <v>0</v>
      </c>
      <c r="E207" s="6">
        <v>0</v>
      </c>
      <c r="F207" s="6">
        <v>0</v>
      </c>
    </row>
    <row r="208" spans="1:6" ht="17.25" customHeight="1" x14ac:dyDescent="0.3">
      <c r="A208" s="3">
        <v>205</v>
      </c>
      <c r="B208" s="16">
        <v>3111</v>
      </c>
      <c r="C208" s="7" t="s">
        <v>134</v>
      </c>
      <c r="D208" s="6">
        <v>0</v>
      </c>
      <c r="E208" s="6">
        <v>0</v>
      </c>
      <c r="F208" s="6">
        <v>0</v>
      </c>
    </row>
    <row r="209" spans="1:6" ht="17.25" customHeight="1" x14ac:dyDescent="0.3">
      <c r="A209" s="3">
        <v>206</v>
      </c>
      <c r="B209" s="16">
        <v>3112</v>
      </c>
      <c r="C209" s="10" t="s">
        <v>135</v>
      </c>
      <c r="D209" s="6">
        <v>3919298.64</v>
      </c>
      <c r="E209" s="6">
        <v>3919298.64</v>
      </c>
      <c r="F209" s="6">
        <v>3919298.64</v>
      </c>
    </row>
    <row r="210" spans="1:6" ht="17.25" customHeight="1" x14ac:dyDescent="0.3">
      <c r="A210" s="3">
        <v>207</v>
      </c>
      <c r="B210" s="16">
        <v>3131</v>
      </c>
      <c r="C210" s="10" t="s">
        <v>136</v>
      </c>
      <c r="D210" s="6">
        <v>1751188</v>
      </c>
      <c r="E210" s="6">
        <v>1751188</v>
      </c>
      <c r="F210" s="6">
        <v>1751188</v>
      </c>
    </row>
    <row r="211" spans="1:6" ht="17.25" customHeight="1" x14ac:dyDescent="0.3">
      <c r="A211" s="3">
        <v>208</v>
      </c>
      <c r="B211" s="16">
        <v>3141</v>
      </c>
      <c r="C211" s="10" t="s">
        <v>137</v>
      </c>
      <c r="D211" s="6">
        <v>461150.31</v>
      </c>
      <c r="E211" s="6">
        <v>461150.31</v>
      </c>
      <c r="F211" s="6">
        <v>461150.31</v>
      </c>
    </row>
    <row r="212" spans="1:6" ht="17.25" customHeight="1" x14ac:dyDescent="0.3">
      <c r="A212" s="3">
        <v>209</v>
      </c>
      <c r="B212" s="16">
        <v>3161</v>
      </c>
      <c r="C212" s="10" t="s">
        <v>138</v>
      </c>
      <c r="D212" s="6">
        <f t="shared" ref="D212:F212" si="10">36019+47828.76</f>
        <v>83847.760000000009</v>
      </c>
      <c r="E212" s="6">
        <f t="shared" si="10"/>
        <v>83847.760000000009</v>
      </c>
      <c r="F212" s="6">
        <f t="shared" si="10"/>
        <v>83847.760000000009</v>
      </c>
    </row>
    <row r="213" spans="1:6" ht="17.25" customHeight="1" x14ac:dyDescent="0.3">
      <c r="A213" s="3">
        <v>210</v>
      </c>
      <c r="B213" s="16">
        <v>3171</v>
      </c>
      <c r="C213" s="10" t="s">
        <v>139</v>
      </c>
      <c r="D213" s="6">
        <v>1954144.04</v>
      </c>
      <c r="E213" s="6">
        <v>1954144.04</v>
      </c>
      <c r="F213" s="6">
        <v>1954144.04</v>
      </c>
    </row>
    <row r="214" spans="1:6" ht="17.25" customHeight="1" x14ac:dyDescent="0.3">
      <c r="A214" s="3">
        <v>211</v>
      </c>
      <c r="B214" s="16">
        <v>3181</v>
      </c>
      <c r="C214" s="10" t="s">
        <v>140</v>
      </c>
      <c r="D214" s="6">
        <v>8887.93</v>
      </c>
      <c r="E214" s="6">
        <v>8887.93</v>
      </c>
      <c r="F214" s="6">
        <v>8887.93</v>
      </c>
    </row>
    <row r="215" spans="1:6" ht="17.25" customHeight="1" x14ac:dyDescent="0.3">
      <c r="A215" s="3">
        <v>212</v>
      </c>
      <c r="B215" s="16">
        <v>3191</v>
      </c>
      <c r="C215" s="7" t="s">
        <v>141</v>
      </c>
      <c r="D215" s="6">
        <v>95642</v>
      </c>
      <c r="E215" s="6">
        <v>95642</v>
      </c>
      <c r="F215" s="6">
        <v>95642</v>
      </c>
    </row>
    <row r="216" spans="1:6" ht="17.25" customHeight="1" x14ac:dyDescent="0.3">
      <c r="A216" s="3">
        <v>213</v>
      </c>
      <c r="B216" s="16">
        <v>3221</v>
      </c>
      <c r="C216" s="10" t="s">
        <v>142</v>
      </c>
      <c r="D216" s="6">
        <v>4520236.08</v>
      </c>
      <c r="E216" s="6">
        <v>4520236.08</v>
      </c>
      <c r="F216" s="6">
        <v>4520236.08</v>
      </c>
    </row>
    <row r="217" spans="1:6" ht="17.25" customHeight="1" x14ac:dyDescent="0.3">
      <c r="A217" s="3">
        <v>214</v>
      </c>
      <c r="B217" s="16">
        <v>3231</v>
      </c>
      <c r="C217" s="10" t="s">
        <v>143</v>
      </c>
      <c r="D217" s="6">
        <v>23896</v>
      </c>
      <c r="E217" s="6">
        <v>23896</v>
      </c>
      <c r="F217" s="6">
        <v>23896</v>
      </c>
    </row>
    <row r="218" spans="1:6" ht="17.25" customHeight="1" x14ac:dyDescent="0.3">
      <c r="A218" s="3">
        <v>215</v>
      </c>
      <c r="B218" s="16">
        <v>3251</v>
      </c>
      <c r="C218" s="7" t="s">
        <v>144</v>
      </c>
      <c r="D218" s="6">
        <v>0</v>
      </c>
      <c r="E218" s="6">
        <v>0</v>
      </c>
      <c r="F218" s="6">
        <v>0</v>
      </c>
    </row>
    <row r="219" spans="1:6" ht="17.25" customHeight="1" x14ac:dyDescent="0.3">
      <c r="A219" s="3">
        <v>216</v>
      </c>
      <c r="B219" s="16">
        <v>3271</v>
      </c>
      <c r="C219" s="10" t="s">
        <v>145</v>
      </c>
      <c r="D219" s="6">
        <v>440265.95</v>
      </c>
      <c r="E219" s="6">
        <v>440265.95</v>
      </c>
      <c r="F219" s="6">
        <v>440265.95</v>
      </c>
    </row>
    <row r="220" spans="1:6" ht="17.25" customHeight="1" x14ac:dyDescent="0.3">
      <c r="A220" s="3">
        <v>217</v>
      </c>
      <c r="B220" s="16">
        <v>3291</v>
      </c>
      <c r="C220" s="10" t="s">
        <v>146</v>
      </c>
      <c r="D220" s="6">
        <v>0</v>
      </c>
      <c r="E220" s="6">
        <v>0</v>
      </c>
      <c r="F220" s="6">
        <v>0</v>
      </c>
    </row>
    <row r="221" spans="1:6" ht="17.25" customHeight="1" x14ac:dyDescent="0.3">
      <c r="A221" s="3">
        <v>218</v>
      </c>
      <c r="B221" s="16">
        <v>3311</v>
      </c>
      <c r="C221" s="10" t="s">
        <v>147</v>
      </c>
      <c r="D221" s="6">
        <v>344525.99</v>
      </c>
      <c r="E221" s="6">
        <v>344525.99</v>
      </c>
      <c r="F221" s="6">
        <v>344525.99</v>
      </c>
    </row>
    <row r="222" spans="1:6" ht="17.25" customHeight="1" x14ac:dyDescent="0.3">
      <c r="A222" s="3">
        <v>219</v>
      </c>
      <c r="B222" s="16">
        <v>3321</v>
      </c>
      <c r="C222" s="7" t="s">
        <v>148</v>
      </c>
      <c r="D222" s="6">
        <v>1419838.29</v>
      </c>
      <c r="E222" s="6">
        <v>1419838.29</v>
      </c>
      <c r="F222" s="6">
        <v>1419838.29</v>
      </c>
    </row>
    <row r="223" spans="1:6" ht="17.25" customHeight="1" x14ac:dyDescent="0.3">
      <c r="A223" s="3">
        <v>220</v>
      </c>
      <c r="B223" s="16">
        <v>3331</v>
      </c>
      <c r="C223" s="10" t="s">
        <v>149</v>
      </c>
      <c r="D223" s="6">
        <v>928827.28</v>
      </c>
      <c r="E223" s="6">
        <v>928827.28</v>
      </c>
      <c r="F223" s="6">
        <v>928827.28</v>
      </c>
    </row>
    <row r="224" spans="1:6" ht="17.25" customHeight="1" x14ac:dyDescent="0.3">
      <c r="A224" s="3">
        <v>221</v>
      </c>
      <c r="B224" s="16">
        <v>3341</v>
      </c>
      <c r="C224" s="10" t="s">
        <v>150</v>
      </c>
      <c r="D224" s="6">
        <v>10944.6</v>
      </c>
      <c r="E224" s="6">
        <v>10944.6</v>
      </c>
      <c r="F224" s="6">
        <v>10944.6</v>
      </c>
    </row>
    <row r="225" spans="1:6" ht="17.25" customHeight="1" x14ac:dyDescent="0.3">
      <c r="A225" s="3">
        <v>222</v>
      </c>
      <c r="B225" s="16">
        <v>3351</v>
      </c>
      <c r="C225" s="10" t="s">
        <v>151</v>
      </c>
      <c r="D225" s="6">
        <v>0</v>
      </c>
      <c r="E225" s="6">
        <v>0</v>
      </c>
      <c r="F225" s="6">
        <v>0</v>
      </c>
    </row>
    <row r="226" spans="1:6" ht="17.25" customHeight="1" x14ac:dyDescent="0.3">
      <c r="A226" s="3">
        <v>223</v>
      </c>
      <c r="B226" s="16">
        <v>3361</v>
      </c>
      <c r="C226" s="10" t="s">
        <v>152</v>
      </c>
      <c r="D226" s="6">
        <v>324862.90000000002</v>
      </c>
      <c r="E226" s="6">
        <v>324862.90000000002</v>
      </c>
      <c r="F226" s="6">
        <v>324862.90000000002</v>
      </c>
    </row>
    <row r="227" spans="1:6" ht="17.25" customHeight="1" x14ac:dyDescent="0.3">
      <c r="A227" s="3">
        <v>224</v>
      </c>
      <c r="B227" s="16">
        <v>3362</v>
      </c>
      <c r="C227" s="10" t="s">
        <v>153</v>
      </c>
      <c r="D227" s="6">
        <v>260708.36</v>
      </c>
      <c r="E227" s="6">
        <v>260708.36</v>
      </c>
      <c r="F227" s="6">
        <v>260708.36</v>
      </c>
    </row>
    <row r="228" spans="1:6" ht="17.25" customHeight="1" x14ac:dyDescent="0.3">
      <c r="A228" s="3">
        <v>225</v>
      </c>
      <c r="B228" s="16">
        <v>3381</v>
      </c>
      <c r="C228" s="10" t="s">
        <v>154</v>
      </c>
      <c r="D228" s="6">
        <v>15115897.699999999</v>
      </c>
      <c r="E228" s="6">
        <v>15115897.699999999</v>
      </c>
      <c r="F228" s="6">
        <v>15115897.699999999</v>
      </c>
    </row>
    <row r="229" spans="1:6" ht="17.25" customHeight="1" x14ac:dyDescent="0.3">
      <c r="A229" s="3">
        <v>226</v>
      </c>
      <c r="B229" s="16">
        <v>3391</v>
      </c>
      <c r="C229" s="10" t="s">
        <v>155</v>
      </c>
      <c r="D229" s="6">
        <v>320705.2</v>
      </c>
      <c r="E229" s="6">
        <v>320705.2</v>
      </c>
      <c r="F229" s="6">
        <v>320705.2</v>
      </c>
    </row>
    <row r="230" spans="1:6" ht="17.25" customHeight="1" x14ac:dyDescent="0.3">
      <c r="A230" s="3">
        <v>227</v>
      </c>
      <c r="B230" s="16">
        <v>3411</v>
      </c>
      <c r="C230" s="7" t="s">
        <v>156</v>
      </c>
      <c r="D230" s="6">
        <v>0</v>
      </c>
      <c r="E230" s="6">
        <v>0</v>
      </c>
      <c r="F230" s="6">
        <v>0</v>
      </c>
    </row>
    <row r="231" spans="1:6" ht="17.25" customHeight="1" x14ac:dyDescent="0.3">
      <c r="A231" s="3">
        <v>228</v>
      </c>
      <c r="B231" s="16">
        <v>3451</v>
      </c>
      <c r="C231" s="10" t="s">
        <v>157</v>
      </c>
      <c r="D231" s="6">
        <v>96857.18</v>
      </c>
      <c r="E231" s="6">
        <v>96857.18</v>
      </c>
      <c r="F231" s="6">
        <v>96857.18</v>
      </c>
    </row>
    <row r="232" spans="1:6" ht="17.25" customHeight="1" x14ac:dyDescent="0.3">
      <c r="A232" s="3">
        <v>229</v>
      </c>
      <c r="B232" s="16">
        <v>3461</v>
      </c>
      <c r="C232" s="10" t="s">
        <v>158</v>
      </c>
      <c r="D232" s="6">
        <v>0</v>
      </c>
      <c r="E232" s="6">
        <v>0</v>
      </c>
      <c r="F232" s="6">
        <v>0</v>
      </c>
    </row>
    <row r="233" spans="1:6" ht="17.25" customHeight="1" x14ac:dyDescent="0.3">
      <c r="A233" s="3">
        <v>230</v>
      </c>
      <c r="B233" s="16">
        <v>3471</v>
      </c>
      <c r="C233" s="10" t="s">
        <v>159</v>
      </c>
      <c r="D233" s="6">
        <v>0</v>
      </c>
      <c r="E233" s="6">
        <v>0</v>
      </c>
      <c r="F233" s="6">
        <v>0</v>
      </c>
    </row>
    <row r="234" spans="1:6" ht="17.25" customHeight="1" x14ac:dyDescent="0.3">
      <c r="A234" s="3">
        <v>231</v>
      </c>
      <c r="B234" s="16">
        <v>3511</v>
      </c>
      <c r="C234" s="10" t="s">
        <v>160</v>
      </c>
      <c r="D234" s="6">
        <v>0</v>
      </c>
      <c r="E234" s="6">
        <v>0</v>
      </c>
      <c r="F234" s="6">
        <v>0</v>
      </c>
    </row>
    <row r="235" spans="1:6" ht="17.25" customHeight="1" x14ac:dyDescent="0.3">
      <c r="A235" s="3">
        <v>232</v>
      </c>
      <c r="B235" s="16">
        <v>3521</v>
      </c>
      <c r="C235" s="10" t="s">
        <v>161</v>
      </c>
      <c r="D235" s="6">
        <v>1044</v>
      </c>
      <c r="E235" s="6">
        <v>1044</v>
      </c>
      <c r="F235" s="6">
        <v>1044</v>
      </c>
    </row>
    <row r="236" spans="1:6" ht="17.25" customHeight="1" x14ac:dyDescent="0.3">
      <c r="A236" s="3">
        <v>233</v>
      </c>
      <c r="B236" s="16">
        <v>3531</v>
      </c>
      <c r="C236" s="10" t="s">
        <v>162</v>
      </c>
      <c r="D236" s="6">
        <v>44344</v>
      </c>
      <c r="E236" s="6">
        <v>44344</v>
      </c>
      <c r="F236" s="6">
        <v>44344</v>
      </c>
    </row>
    <row r="237" spans="1:6" ht="17.25" customHeight="1" x14ac:dyDescent="0.3">
      <c r="A237" s="3">
        <v>234</v>
      </c>
      <c r="B237" s="16">
        <v>3541</v>
      </c>
      <c r="C237" s="10" t="s">
        <v>163</v>
      </c>
      <c r="D237" s="6">
        <v>156855.20000000001</v>
      </c>
      <c r="E237" s="6">
        <v>156855.20000000001</v>
      </c>
      <c r="F237" s="6">
        <v>156855.20000000001</v>
      </c>
    </row>
    <row r="238" spans="1:6" ht="17.25" customHeight="1" x14ac:dyDescent="0.3">
      <c r="A238" s="3">
        <v>235</v>
      </c>
      <c r="B238" s="16">
        <v>3553</v>
      </c>
      <c r="C238" s="10" t="s">
        <v>164</v>
      </c>
      <c r="D238" s="6">
        <v>154832.59</v>
      </c>
      <c r="E238" s="6">
        <v>154832.59</v>
      </c>
      <c r="F238" s="6">
        <v>154832.59</v>
      </c>
    </row>
    <row r="239" spans="1:6" ht="17.25" customHeight="1" x14ac:dyDescent="0.3">
      <c r="A239" s="3">
        <v>236</v>
      </c>
      <c r="B239" s="16">
        <v>3561</v>
      </c>
      <c r="C239" s="10" t="s">
        <v>165</v>
      </c>
      <c r="D239" s="6">
        <f t="shared" ref="D239:F239" si="11">82170.78+188573.08</f>
        <v>270743.86</v>
      </c>
      <c r="E239" s="6">
        <f t="shared" si="11"/>
        <v>270743.86</v>
      </c>
      <c r="F239" s="6">
        <f t="shared" si="11"/>
        <v>270743.86</v>
      </c>
    </row>
    <row r="240" spans="1:6" ht="17.25" customHeight="1" x14ac:dyDescent="0.3">
      <c r="A240" s="3">
        <v>237</v>
      </c>
      <c r="B240" s="16">
        <v>3571</v>
      </c>
      <c r="C240" s="10" t="s">
        <v>166</v>
      </c>
      <c r="D240" s="6">
        <v>335189.49</v>
      </c>
      <c r="E240" s="6">
        <v>335189.49</v>
      </c>
      <c r="F240" s="6">
        <v>335189.49</v>
      </c>
    </row>
    <row r="241" spans="1:6" ht="17.25" customHeight="1" x14ac:dyDescent="0.3">
      <c r="A241" s="3">
        <v>238</v>
      </c>
      <c r="B241" s="16">
        <v>3581</v>
      </c>
      <c r="C241" s="10" t="s">
        <v>167</v>
      </c>
      <c r="D241" s="6">
        <v>117455.8</v>
      </c>
      <c r="E241" s="6">
        <v>117455.8</v>
      </c>
      <c r="F241" s="6">
        <v>117455.8</v>
      </c>
    </row>
    <row r="242" spans="1:6" ht="17.25" customHeight="1" x14ac:dyDescent="0.3">
      <c r="A242" s="3">
        <v>239</v>
      </c>
      <c r="B242" s="16">
        <v>3591</v>
      </c>
      <c r="C242" s="10" t="s">
        <v>168</v>
      </c>
      <c r="D242" s="6">
        <v>83549</v>
      </c>
      <c r="E242" s="6">
        <v>83549</v>
      </c>
      <c r="F242" s="6">
        <v>83549</v>
      </c>
    </row>
    <row r="243" spans="1:6" ht="17.25" customHeight="1" x14ac:dyDescent="0.3">
      <c r="A243" s="3">
        <v>240</v>
      </c>
      <c r="B243" s="16">
        <v>3611</v>
      </c>
      <c r="C243" s="12" t="s">
        <v>169</v>
      </c>
      <c r="D243" s="6">
        <v>642765.56999999995</v>
      </c>
      <c r="E243" s="6">
        <v>642765.56999999995</v>
      </c>
      <c r="F243" s="6">
        <v>642765.56999999995</v>
      </c>
    </row>
    <row r="244" spans="1:6" ht="17.25" customHeight="1" x14ac:dyDescent="0.3">
      <c r="A244" s="3">
        <v>241</v>
      </c>
      <c r="B244" s="16">
        <v>3631</v>
      </c>
      <c r="C244" s="7" t="s">
        <v>170</v>
      </c>
      <c r="D244" s="6">
        <v>0</v>
      </c>
      <c r="E244" s="6">
        <v>0</v>
      </c>
      <c r="F244" s="6">
        <v>0</v>
      </c>
    </row>
    <row r="245" spans="1:6" ht="17.25" customHeight="1" x14ac:dyDescent="0.3">
      <c r="A245" s="3">
        <v>242</v>
      </c>
      <c r="B245" s="16">
        <v>3651</v>
      </c>
      <c r="C245" s="10" t="s">
        <v>171</v>
      </c>
      <c r="D245" s="6">
        <v>0</v>
      </c>
      <c r="E245" s="6">
        <v>0</v>
      </c>
      <c r="F245" s="6">
        <v>0</v>
      </c>
    </row>
    <row r="246" spans="1:6" ht="17.25" customHeight="1" x14ac:dyDescent="0.3">
      <c r="A246" s="3">
        <v>243</v>
      </c>
      <c r="B246" s="16">
        <v>3661</v>
      </c>
      <c r="C246" s="7" t="s">
        <v>172</v>
      </c>
      <c r="D246" s="6">
        <v>0</v>
      </c>
      <c r="E246" s="6">
        <v>0</v>
      </c>
      <c r="F246" s="6">
        <v>0</v>
      </c>
    </row>
    <row r="247" spans="1:6" ht="17.25" customHeight="1" x14ac:dyDescent="0.3">
      <c r="A247" s="3">
        <v>244</v>
      </c>
      <c r="B247" s="16">
        <v>3711</v>
      </c>
      <c r="C247" s="10" t="s">
        <v>173</v>
      </c>
      <c r="D247" s="6">
        <v>6469</v>
      </c>
      <c r="E247" s="6">
        <v>6469</v>
      </c>
      <c r="F247" s="6">
        <v>6469</v>
      </c>
    </row>
    <row r="248" spans="1:6" ht="17.25" customHeight="1" x14ac:dyDescent="0.3">
      <c r="A248" s="3">
        <v>245</v>
      </c>
      <c r="B248" s="16">
        <v>3712</v>
      </c>
      <c r="C248" s="10" t="s">
        <v>174</v>
      </c>
      <c r="D248" s="6">
        <v>85525.95</v>
      </c>
      <c r="E248" s="6">
        <v>85525.95</v>
      </c>
      <c r="F248" s="6">
        <v>85525.95</v>
      </c>
    </row>
    <row r="249" spans="1:6" ht="17.25" customHeight="1" x14ac:dyDescent="0.3">
      <c r="A249" s="3">
        <v>246</v>
      </c>
      <c r="B249" s="16">
        <v>3721</v>
      </c>
      <c r="C249" s="10" t="s">
        <v>175</v>
      </c>
      <c r="D249" s="6">
        <v>0</v>
      </c>
      <c r="E249" s="6">
        <v>0</v>
      </c>
      <c r="F249" s="6">
        <v>0</v>
      </c>
    </row>
    <row r="250" spans="1:6" ht="17.25" customHeight="1" x14ac:dyDescent="0.3">
      <c r="A250" s="3">
        <v>247</v>
      </c>
      <c r="B250" s="16">
        <v>3722</v>
      </c>
      <c r="C250" s="10" t="s">
        <v>176</v>
      </c>
      <c r="D250" s="6">
        <v>7990</v>
      </c>
      <c r="E250" s="6">
        <v>7990</v>
      </c>
      <c r="F250" s="6">
        <v>7990</v>
      </c>
    </row>
    <row r="251" spans="1:6" ht="17.25" customHeight="1" x14ac:dyDescent="0.3">
      <c r="A251" s="3">
        <v>248</v>
      </c>
      <c r="B251" s="16">
        <v>3723</v>
      </c>
      <c r="C251" s="7" t="s">
        <v>177</v>
      </c>
      <c r="D251" s="6">
        <v>0</v>
      </c>
      <c r="E251" s="6">
        <v>0</v>
      </c>
      <c r="F251" s="6">
        <v>0</v>
      </c>
    </row>
    <row r="252" spans="1:6" ht="17.25" customHeight="1" x14ac:dyDescent="0.3">
      <c r="A252" s="3">
        <v>249</v>
      </c>
      <c r="B252" s="16">
        <v>3741</v>
      </c>
      <c r="C252" s="7" t="s">
        <v>178</v>
      </c>
      <c r="D252" s="6">
        <v>0</v>
      </c>
      <c r="E252" s="6">
        <v>0</v>
      </c>
      <c r="F252" s="6">
        <v>0</v>
      </c>
    </row>
    <row r="253" spans="1:6" ht="17.25" customHeight="1" x14ac:dyDescent="0.3">
      <c r="A253" s="3">
        <v>250</v>
      </c>
      <c r="B253" s="16">
        <v>3751</v>
      </c>
      <c r="C253" s="10" t="s">
        <v>179</v>
      </c>
      <c r="D253" s="6">
        <v>23104.16</v>
      </c>
      <c r="E253" s="6">
        <v>23104.16</v>
      </c>
      <c r="F253" s="6">
        <v>23104.16</v>
      </c>
    </row>
    <row r="254" spans="1:6" ht="17.25" customHeight="1" x14ac:dyDescent="0.3">
      <c r="A254" s="3">
        <v>251</v>
      </c>
      <c r="B254" s="16">
        <v>3761</v>
      </c>
      <c r="C254" s="10" t="s">
        <v>180</v>
      </c>
      <c r="D254" s="6">
        <v>38650.269999999997</v>
      </c>
      <c r="E254" s="6">
        <v>38650.269999999997</v>
      </c>
      <c r="F254" s="6">
        <v>38650.269999999997</v>
      </c>
    </row>
    <row r="255" spans="1:6" ht="17.25" customHeight="1" x14ac:dyDescent="0.3">
      <c r="A255" s="3">
        <v>252</v>
      </c>
      <c r="B255" s="16">
        <v>3781</v>
      </c>
      <c r="C255" s="7" t="s">
        <v>181</v>
      </c>
      <c r="D255" s="6">
        <v>0</v>
      </c>
      <c r="E255" s="6">
        <v>0</v>
      </c>
      <c r="F255" s="6">
        <v>0</v>
      </c>
    </row>
    <row r="256" spans="1:6" ht="17.25" customHeight="1" x14ac:dyDescent="0.3">
      <c r="A256" s="3">
        <v>253</v>
      </c>
      <c r="B256" s="16">
        <v>3791</v>
      </c>
      <c r="C256" s="7" t="s">
        <v>182</v>
      </c>
      <c r="D256" s="6">
        <v>0</v>
      </c>
      <c r="E256" s="6">
        <v>0</v>
      </c>
      <c r="F256" s="6">
        <v>0</v>
      </c>
    </row>
    <row r="257" spans="1:6" ht="17.25" customHeight="1" x14ac:dyDescent="0.3">
      <c r="A257" s="3">
        <v>254</v>
      </c>
      <c r="B257" s="16">
        <v>3823</v>
      </c>
      <c r="C257" s="10" t="s">
        <v>183</v>
      </c>
      <c r="D257" s="6">
        <v>679629.53</v>
      </c>
      <c r="E257" s="6">
        <v>679629.53</v>
      </c>
      <c r="F257" s="6">
        <v>679629.53</v>
      </c>
    </row>
    <row r="258" spans="1:6" ht="17.25" customHeight="1" x14ac:dyDescent="0.3">
      <c r="A258" s="3">
        <v>255</v>
      </c>
      <c r="B258" s="16">
        <v>3831</v>
      </c>
      <c r="C258" s="10" t="s">
        <v>184</v>
      </c>
      <c r="D258" s="6">
        <v>287167.33</v>
      </c>
      <c r="E258" s="6">
        <v>287167.33</v>
      </c>
      <c r="F258" s="6">
        <v>287167.33</v>
      </c>
    </row>
    <row r="259" spans="1:6" ht="17.25" customHeight="1" x14ac:dyDescent="0.3">
      <c r="A259" s="3">
        <v>256</v>
      </c>
      <c r="B259" s="16">
        <v>3832</v>
      </c>
      <c r="C259" s="10" t="s">
        <v>185</v>
      </c>
      <c r="D259" s="6">
        <v>9031.27</v>
      </c>
      <c r="E259" s="6">
        <v>9031.27</v>
      </c>
      <c r="F259" s="6">
        <v>9031.27</v>
      </c>
    </row>
    <row r="260" spans="1:6" ht="17.25" customHeight="1" x14ac:dyDescent="0.3">
      <c r="A260" s="3">
        <v>257</v>
      </c>
      <c r="B260" s="16">
        <v>3921</v>
      </c>
      <c r="C260" s="7" t="s">
        <v>186</v>
      </c>
      <c r="D260" s="6">
        <v>101029.88</v>
      </c>
      <c r="E260" s="6">
        <v>101029.88</v>
      </c>
      <c r="F260" s="6">
        <v>101029.88</v>
      </c>
    </row>
    <row r="261" spans="1:6" ht="17.25" customHeight="1" x14ac:dyDescent="0.3">
      <c r="A261" s="3">
        <v>258</v>
      </c>
      <c r="B261" s="16">
        <v>3969</v>
      </c>
      <c r="C261" s="7" t="s">
        <v>187</v>
      </c>
      <c r="D261" s="6">
        <v>0</v>
      </c>
      <c r="E261" s="6">
        <v>0</v>
      </c>
      <c r="F261" s="6">
        <v>0</v>
      </c>
    </row>
    <row r="262" spans="1:6" ht="17.25" customHeight="1" x14ac:dyDescent="0.3">
      <c r="A262" s="3">
        <v>259</v>
      </c>
      <c r="B262" s="16">
        <v>3981</v>
      </c>
      <c r="C262" s="7" t="s">
        <v>188</v>
      </c>
      <c r="D262" s="6">
        <v>11768131</v>
      </c>
      <c r="E262" s="6">
        <v>11768131</v>
      </c>
      <c r="F262" s="6">
        <v>11768131</v>
      </c>
    </row>
    <row r="263" spans="1:6" ht="17.25" customHeight="1" x14ac:dyDescent="0.3">
      <c r="A263" s="3">
        <v>260</v>
      </c>
      <c r="B263" s="16">
        <v>4121</v>
      </c>
      <c r="C263" s="7" t="s">
        <v>189</v>
      </c>
      <c r="D263" s="6">
        <v>0</v>
      </c>
      <c r="E263" s="6">
        <v>0</v>
      </c>
      <c r="F263" s="6">
        <v>0</v>
      </c>
    </row>
    <row r="264" spans="1:6" ht="17.25" customHeight="1" x14ac:dyDescent="0.3">
      <c r="A264" s="3">
        <v>261</v>
      </c>
      <c r="B264" s="16">
        <v>4411</v>
      </c>
      <c r="C264" s="10" t="s">
        <v>190</v>
      </c>
      <c r="D264" s="6">
        <v>0</v>
      </c>
      <c r="E264" s="6">
        <v>0</v>
      </c>
      <c r="F264" s="6">
        <v>0</v>
      </c>
    </row>
    <row r="265" spans="1:6" ht="17.25" customHeight="1" x14ac:dyDescent="0.3">
      <c r="A265" s="3">
        <v>262</v>
      </c>
      <c r="B265" s="16">
        <v>4419</v>
      </c>
      <c r="C265" s="10" t="s">
        <v>191</v>
      </c>
      <c r="D265" s="6">
        <v>25760</v>
      </c>
      <c r="E265" s="6">
        <v>25760</v>
      </c>
      <c r="F265" s="6">
        <v>25760</v>
      </c>
    </row>
    <row r="266" spans="1:6" ht="17.25" customHeight="1" x14ac:dyDescent="0.3">
      <c r="A266" s="3">
        <v>263</v>
      </c>
      <c r="B266" s="16">
        <v>4421</v>
      </c>
      <c r="C266" s="10" t="s">
        <v>192</v>
      </c>
      <c r="D266" s="6">
        <v>17219494.399999999</v>
      </c>
      <c r="E266" s="6">
        <v>17219494.399999999</v>
      </c>
      <c r="F266" s="6">
        <v>17219494.399999999</v>
      </c>
    </row>
    <row r="267" spans="1:6" ht="17.25" customHeight="1" x14ac:dyDescent="0.3">
      <c r="A267" s="3">
        <v>264</v>
      </c>
      <c r="B267" s="16">
        <v>4441</v>
      </c>
      <c r="C267" s="10" t="s">
        <v>193</v>
      </c>
      <c r="D267" s="6">
        <v>431413.42</v>
      </c>
      <c r="E267" s="6">
        <v>431413.42</v>
      </c>
      <c r="F267" s="6">
        <v>431413.42</v>
      </c>
    </row>
    <row r="268" spans="1:6" ht="17.25" customHeight="1" x14ac:dyDescent="0.3">
      <c r="A268" s="3">
        <v>265</v>
      </c>
      <c r="B268" s="16">
        <v>5111</v>
      </c>
      <c r="C268" s="10" t="s">
        <v>194</v>
      </c>
      <c r="D268" s="6">
        <v>436171.86</v>
      </c>
      <c r="E268" s="6">
        <v>436171.86</v>
      </c>
      <c r="F268" s="6">
        <v>436171.86</v>
      </c>
    </row>
    <row r="269" spans="1:6" ht="17.25" customHeight="1" x14ac:dyDescent="0.3">
      <c r="A269" s="3">
        <v>266</v>
      </c>
      <c r="B269" s="16">
        <v>5131</v>
      </c>
      <c r="C269" s="10" t="s">
        <v>195</v>
      </c>
      <c r="D269" s="6">
        <v>155062.69</v>
      </c>
      <c r="E269" s="6">
        <v>155062.69</v>
      </c>
      <c r="F269" s="6">
        <v>155062.69</v>
      </c>
    </row>
    <row r="270" spans="1:6" ht="17.25" customHeight="1" x14ac:dyDescent="0.3">
      <c r="A270" s="3">
        <v>267</v>
      </c>
      <c r="B270" s="16">
        <v>5151</v>
      </c>
      <c r="C270" s="10" t="s">
        <v>196</v>
      </c>
      <c r="D270" s="6">
        <v>3666006.26</v>
      </c>
      <c r="E270" s="6">
        <v>3666006.26</v>
      </c>
      <c r="F270" s="6">
        <v>3666006.26</v>
      </c>
    </row>
    <row r="271" spans="1:6" ht="17.25" customHeight="1" x14ac:dyDescent="0.3">
      <c r="A271" s="3">
        <v>268</v>
      </c>
      <c r="B271" s="16">
        <v>5191</v>
      </c>
      <c r="C271" s="10" t="s">
        <v>197</v>
      </c>
      <c r="D271" s="6">
        <v>25578</v>
      </c>
      <c r="E271" s="6">
        <v>25578</v>
      </c>
      <c r="F271" s="6">
        <v>25578</v>
      </c>
    </row>
    <row r="272" spans="1:6" ht="17.25" customHeight="1" x14ac:dyDescent="0.3">
      <c r="A272" s="3">
        <v>269</v>
      </c>
      <c r="B272" s="16">
        <v>5211</v>
      </c>
      <c r="C272" s="10" t="s">
        <v>198</v>
      </c>
      <c r="D272" s="6">
        <v>186802.83</v>
      </c>
      <c r="E272" s="6">
        <v>186802.83</v>
      </c>
      <c r="F272" s="6">
        <v>186802.83</v>
      </c>
    </row>
    <row r="273" spans="1:6" ht="17.25" customHeight="1" x14ac:dyDescent="0.3">
      <c r="A273" s="3">
        <v>270</v>
      </c>
      <c r="B273" s="16">
        <v>5231</v>
      </c>
      <c r="C273" s="10" t="s">
        <v>199</v>
      </c>
      <c r="D273" s="6">
        <v>98706.72</v>
      </c>
      <c r="E273" s="6">
        <v>98706.72</v>
      </c>
      <c r="F273" s="6">
        <v>98706.72</v>
      </c>
    </row>
    <row r="274" spans="1:6" ht="17.25" customHeight="1" x14ac:dyDescent="0.3">
      <c r="A274" s="3">
        <v>271</v>
      </c>
      <c r="B274" s="16">
        <v>5291</v>
      </c>
      <c r="C274" s="10" t="s">
        <v>200</v>
      </c>
      <c r="D274" s="6">
        <v>66120</v>
      </c>
      <c r="E274" s="6">
        <v>66120</v>
      </c>
      <c r="F274" s="6">
        <v>66120</v>
      </c>
    </row>
    <row r="275" spans="1:6" ht="17.25" customHeight="1" x14ac:dyDescent="0.3">
      <c r="A275" s="3">
        <v>272</v>
      </c>
      <c r="B275" s="16">
        <v>5311</v>
      </c>
      <c r="C275" s="10" t="s">
        <v>201</v>
      </c>
      <c r="D275" s="6">
        <v>82379.45</v>
      </c>
      <c r="E275" s="6">
        <v>82379.45</v>
      </c>
      <c r="F275" s="6">
        <v>82379.45</v>
      </c>
    </row>
    <row r="276" spans="1:6" ht="17.25" customHeight="1" x14ac:dyDescent="0.3">
      <c r="A276" s="3">
        <v>273</v>
      </c>
      <c r="B276" s="16">
        <v>5321</v>
      </c>
      <c r="C276" s="10" t="s">
        <v>202</v>
      </c>
      <c r="D276" s="6">
        <v>2818.8</v>
      </c>
      <c r="E276" s="6">
        <v>2818.8</v>
      </c>
      <c r="F276" s="6">
        <v>2818.8</v>
      </c>
    </row>
    <row r="277" spans="1:6" ht="17.25" customHeight="1" x14ac:dyDescent="0.3">
      <c r="A277" s="3">
        <v>274</v>
      </c>
      <c r="B277" s="16">
        <v>5411</v>
      </c>
      <c r="C277" s="7" t="s">
        <v>203</v>
      </c>
      <c r="D277" s="6">
        <v>0</v>
      </c>
      <c r="E277" s="6">
        <v>0</v>
      </c>
      <c r="F277" s="6">
        <v>0</v>
      </c>
    </row>
    <row r="278" spans="1:6" ht="17.25" customHeight="1" x14ac:dyDescent="0.3">
      <c r="A278" s="3">
        <v>275</v>
      </c>
      <c r="B278" s="16">
        <v>5621</v>
      </c>
      <c r="C278" s="7" t="s">
        <v>204</v>
      </c>
      <c r="D278" s="6">
        <v>1480.78</v>
      </c>
      <c r="E278" s="6">
        <v>1480.78</v>
      </c>
      <c r="F278" s="6">
        <v>1480.78</v>
      </c>
    </row>
    <row r="279" spans="1:6" ht="17.25" customHeight="1" x14ac:dyDescent="0.3">
      <c r="A279" s="3">
        <v>276</v>
      </c>
      <c r="B279" s="16">
        <v>5631</v>
      </c>
      <c r="C279" s="7" t="s">
        <v>205</v>
      </c>
      <c r="D279" s="6">
        <v>0</v>
      </c>
      <c r="E279" s="6">
        <v>0</v>
      </c>
      <c r="F279" s="6">
        <v>0</v>
      </c>
    </row>
    <row r="280" spans="1:6" ht="17.25" customHeight="1" x14ac:dyDescent="0.3">
      <c r="A280" s="3">
        <v>277</v>
      </c>
      <c r="B280" s="16">
        <v>5641</v>
      </c>
      <c r="C280" s="7" t="s">
        <v>206</v>
      </c>
      <c r="D280" s="6">
        <v>166936.76</v>
      </c>
      <c r="E280" s="6">
        <v>166936.76</v>
      </c>
      <c r="F280" s="6">
        <v>166936.76</v>
      </c>
    </row>
    <row r="281" spans="1:6" ht="17.25" customHeight="1" x14ac:dyDescent="0.3">
      <c r="A281" s="3">
        <v>278</v>
      </c>
      <c r="B281" s="16">
        <v>5651</v>
      </c>
      <c r="C281" s="7" t="s">
        <v>207</v>
      </c>
      <c r="D281" s="6">
        <v>284999.99</v>
      </c>
      <c r="E281" s="6">
        <v>284999.99</v>
      </c>
      <c r="F281" s="6">
        <v>284999.99</v>
      </c>
    </row>
    <row r="282" spans="1:6" ht="17.25" customHeight="1" x14ac:dyDescent="0.3">
      <c r="A282" s="3">
        <v>279</v>
      </c>
      <c r="B282" s="16">
        <v>5661</v>
      </c>
      <c r="C282" s="7" t="s">
        <v>208</v>
      </c>
      <c r="D282" s="6">
        <v>22835.42</v>
      </c>
      <c r="E282" s="6">
        <v>22835.42</v>
      </c>
      <c r="F282" s="6">
        <v>22835.42</v>
      </c>
    </row>
    <row r="283" spans="1:6" ht="17.25" customHeight="1" x14ac:dyDescent="0.3">
      <c r="A283" s="3">
        <v>280</v>
      </c>
      <c r="B283" s="16">
        <v>5671</v>
      </c>
      <c r="C283" s="7" t="s">
        <v>209</v>
      </c>
      <c r="D283" s="6">
        <v>0</v>
      </c>
      <c r="E283" s="6">
        <v>0</v>
      </c>
      <c r="F283" s="6">
        <v>0</v>
      </c>
    </row>
    <row r="284" spans="1:6" ht="17.25" customHeight="1" x14ac:dyDescent="0.3">
      <c r="A284" s="3">
        <v>281</v>
      </c>
      <c r="B284" s="16">
        <v>5691</v>
      </c>
      <c r="C284" s="7" t="s">
        <v>210</v>
      </c>
      <c r="D284" s="6">
        <v>47676</v>
      </c>
      <c r="E284" s="6">
        <v>47676</v>
      </c>
      <c r="F284" s="6">
        <v>47676</v>
      </c>
    </row>
    <row r="285" spans="1:6" ht="17.25" customHeight="1" x14ac:dyDescent="0.3">
      <c r="A285" s="3">
        <v>282</v>
      </c>
      <c r="B285" s="16">
        <v>5811</v>
      </c>
      <c r="C285" s="7" t="s">
        <v>211</v>
      </c>
      <c r="D285" s="6">
        <v>0</v>
      </c>
      <c r="E285" s="6">
        <v>0</v>
      </c>
      <c r="F285" s="6">
        <v>0</v>
      </c>
    </row>
    <row r="286" spans="1:6" ht="17.25" customHeight="1" x14ac:dyDescent="0.3">
      <c r="A286" s="3">
        <v>283</v>
      </c>
      <c r="B286" s="16">
        <v>5911</v>
      </c>
      <c r="C286" s="7" t="s">
        <v>212</v>
      </c>
      <c r="D286" s="6">
        <v>0</v>
      </c>
      <c r="E286" s="6">
        <v>0</v>
      </c>
      <c r="F286" s="6">
        <v>0</v>
      </c>
    </row>
    <row r="287" spans="1:6" ht="17.25" customHeight="1" x14ac:dyDescent="0.3">
      <c r="A287" s="3">
        <v>284</v>
      </c>
      <c r="B287" s="16">
        <v>5941</v>
      </c>
      <c r="C287" s="7" t="s">
        <v>213</v>
      </c>
      <c r="D287" s="6">
        <v>0</v>
      </c>
      <c r="E287" s="6">
        <v>0</v>
      </c>
      <c r="F287" s="6">
        <v>0</v>
      </c>
    </row>
    <row r="288" spans="1:6" ht="17.25" customHeight="1" x14ac:dyDescent="0.3">
      <c r="A288" s="3">
        <v>285</v>
      </c>
      <c r="B288" s="18">
        <v>6221</v>
      </c>
      <c r="C288" s="7" t="s">
        <v>214</v>
      </c>
      <c r="D288" s="13">
        <v>64348302.520000003</v>
      </c>
      <c r="E288" s="13">
        <v>64348302.520000003</v>
      </c>
      <c r="F288" s="13">
        <v>64348302.520000003</v>
      </c>
    </row>
    <row r="289" spans="1:6" ht="17.25" customHeight="1" x14ac:dyDescent="0.3">
      <c r="A289" s="3">
        <v>286</v>
      </c>
      <c r="B289" s="18">
        <v>6271</v>
      </c>
      <c r="C289" s="7" t="s">
        <v>215</v>
      </c>
      <c r="D289" s="13">
        <v>0</v>
      </c>
      <c r="E289" s="13">
        <v>0</v>
      </c>
      <c r="F289" s="13">
        <v>0</v>
      </c>
    </row>
    <row r="290" spans="1:6" ht="17.25" customHeight="1" x14ac:dyDescent="0.3">
      <c r="A290" s="3">
        <v>287</v>
      </c>
      <c r="B290" s="16">
        <v>1131</v>
      </c>
      <c r="C290" s="7" t="s">
        <v>72</v>
      </c>
      <c r="D290" s="6">
        <f t="shared" ref="D290:F290" si="12">194238954.84+24782305.34</f>
        <v>219021260.18000001</v>
      </c>
      <c r="E290" s="6">
        <f t="shared" si="12"/>
        <v>219021260.18000001</v>
      </c>
      <c r="F290" s="6">
        <f t="shared" si="12"/>
        <v>219021260.18000001</v>
      </c>
    </row>
    <row r="291" spans="1:6" ht="17.25" customHeight="1" x14ac:dyDescent="0.3">
      <c r="A291" s="3">
        <v>288</v>
      </c>
      <c r="B291" s="16">
        <v>1211</v>
      </c>
      <c r="C291" s="7" t="s">
        <v>73</v>
      </c>
      <c r="D291" s="6">
        <f t="shared" ref="D291:F291" si="13">5925728.65+501306</f>
        <v>6427034.6500000004</v>
      </c>
      <c r="E291" s="6">
        <f t="shared" si="13"/>
        <v>6427034.6500000004</v>
      </c>
      <c r="F291" s="6">
        <f t="shared" si="13"/>
        <v>6427034.6500000004</v>
      </c>
    </row>
    <row r="292" spans="1:6" ht="17.25" customHeight="1" x14ac:dyDescent="0.3">
      <c r="A292" s="3">
        <v>289</v>
      </c>
      <c r="B292" s="16">
        <v>1312</v>
      </c>
      <c r="C292" s="7" t="s">
        <v>74</v>
      </c>
      <c r="D292" s="6">
        <v>10990.08</v>
      </c>
      <c r="E292" s="6">
        <v>10990.08</v>
      </c>
      <c r="F292" s="6">
        <v>10990.08</v>
      </c>
    </row>
    <row r="293" spans="1:6" ht="17.25" customHeight="1" x14ac:dyDescent="0.3">
      <c r="A293" s="3">
        <v>290</v>
      </c>
      <c r="B293" s="16">
        <v>1321</v>
      </c>
      <c r="C293" s="8" t="s">
        <v>75</v>
      </c>
      <c r="D293" s="6">
        <v>14113794.039999999</v>
      </c>
      <c r="E293" s="6">
        <v>14113794.039999999</v>
      </c>
      <c r="F293" s="6">
        <v>14113794.039999999</v>
      </c>
    </row>
    <row r="294" spans="1:6" ht="17.25" customHeight="1" x14ac:dyDescent="0.3">
      <c r="A294" s="3">
        <v>291</v>
      </c>
      <c r="B294" s="16">
        <v>1323</v>
      </c>
      <c r="C294" s="8" t="s">
        <v>76</v>
      </c>
      <c r="D294" s="6">
        <v>945469.71</v>
      </c>
      <c r="E294" s="6">
        <v>945469.71</v>
      </c>
      <c r="F294" s="6">
        <v>945469.71</v>
      </c>
    </row>
    <row r="295" spans="1:6" ht="17.25" customHeight="1" x14ac:dyDescent="0.3">
      <c r="A295" s="3">
        <v>292</v>
      </c>
      <c r="B295" s="16">
        <v>1331</v>
      </c>
      <c r="C295" s="8" t="s">
        <v>77</v>
      </c>
      <c r="D295" s="6">
        <f t="shared" ref="D295:F295" si="14">686563.05+71305.04</f>
        <v>757868.09000000008</v>
      </c>
      <c r="E295" s="6">
        <f t="shared" si="14"/>
        <v>757868.09000000008</v>
      </c>
      <c r="F295" s="6">
        <f t="shared" si="14"/>
        <v>757868.09000000008</v>
      </c>
    </row>
    <row r="296" spans="1:6" ht="17.25" customHeight="1" x14ac:dyDescent="0.3">
      <c r="A296" s="3">
        <v>293</v>
      </c>
      <c r="B296" s="16">
        <v>1342</v>
      </c>
      <c r="C296" s="8" t="s">
        <v>78</v>
      </c>
      <c r="D296" s="6">
        <v>46776</v>
      </c>
      <c r="E296" s="6">
        <v>46776</v>
      </c>
      <c r="F296" s="6">
        <v>46776</v>
      </c>
    </row>
    <row r="297" spans="1:6" ht="17.25" customHeight="1" x14ac:dyDescent="0.3">
      <c r="A297" s="3">
        <v>294</v>
      </c>
      <c r="B297" s="16">
        <v>1411</v>
      </c>
      <c r="C297" s="9" t="s">
        <v>79</v>
      </c>
      <c r="D297" s="6">
        <f t="shared" ref="D297:F297" si="15">19905983.8+2468290.26</f>
        <v>22374274.060000002</v>
      </c>
      <c r="E297" s="6">
        <f t="shared" si="15"/>
        <v>22374274.060000002</v>
      </c>
      <c r="F297" s="6">
        <f t="shared" si="15"/>
        <v>22374274.060000002</v>
      </c>
    </row>
    <row r="298" spans="1:6" ht="17.25" customHeight="1" x14ac:dyDescent="0.3">
      <c r="A298" s="3">
        <v>295</v>
      </c>
      <c r="B298" s="16">
        <v>1421</v>
      </c>
      <c r="C298" s="9" t="s">
        <v>80</v>
      </c>
      <c r="D298" s="6">
        <v>9777665.8200000003</v>
      </c>
      <c r="E298" s="6">
        <v>9777665.8200000003</v>
      </c>
      <c r="F298" s="6">
        <v>9777665.8200000003</v>
      </c>
    </row>
    <row r="299" spans="1:6" ht="17.25" customHeight="1" x14ac:dyDescent="0.3">
      <c r="A299" s="3">
        <v>296</v>
      </c>
      <c r="B299" s="16">
        <v>1431</v>
      </c>
      <c r="C299" s="9" t="s">
        <v>81</v>
      </c>
      <c r="D299" s="6">
        <v>11180588.07</v>
      </c>
      <c r="E299" s="6">
        <v>11180588.07</v>
      </c>
      <c r="F299" s="6">
        <v>11180588.07</v>
      </c>
    </row>
    <row r="300" spans="1:6" ht="17.25" customHeight="1" x14ac:dyDescent="0.3">
      <c r="A300" s="3">
        <v>297</v>
      </c>
      <c r="B300" s="16">
        <v>1441</v>
      </c>
      <c r="C300" s="9" t="s">
        <v>82</v>
      </c>
      <c r="D300" s="6">
        <v>8864273.4499999993</v>
      </c>
      <c r="E300" s="6">
        <v>8864273.4499999993</v>
      </c>
      <c r="F300" s="6">
        <v>8864273.4499999993</v>
      </c>
    </row>
    <row r="301" spans="1:6" ht="17.25" customHeight="1" x14ac:dyDescent="0.3">
      <c r="A301" s="3">
        <v>298</v>
      </c>
      <c r="B301" s="16">
        <v>1443</v>
      </c>
      <c r="C301" s="9" t="s">
        <v>83</v>
      </c>
      <c r="D301" s="6">
        <v>0</v>
      </c>
      <c r="E301" s="6">
        <v>0</v>
      </c>
      <c r="F301" s="6">
        <v>0</v>
      </c>
    </row>
    <row r="302" spans="1:6" ht="17.25" customHeight="1" x14ac:dyDescent="0.3">
      <c r="A302" s="3">
        <v>299</v>
      </c>
      <c r="B302" s="16">
        <v>1521</v>
      </c>
      <c r="C302" s="9" t="s">
        <v>84</v>
      </c>
      <c r="D302" s="6">
        <v>1214366.92</v>
      </c>
      <c r="E302" s="6">
        <v>1214366.92</v>
      </c>
      <c r="F302" s="6">
        <v>1214366.92</v>
      </c>
    </row>
    <row r="303" spans="1:6" ht="17.25" customHeight="1" x14ac:dyDescent="0.3">
      <c r="A303" s="3">
        <v>300</v>
      </c>
      <c r="B303" s="16">
        <v>1541</v>
      </c>
      <c r="C303" s="9" t="s">
        <v>85</v>
      </c>
      <c r="D303" s="6">
        <v>1254133.69</v>
      </c>
      <c r="E303" s="6">
        <v>1254133.69</v>
      </c>
      <c r="F303" s="6">
        <v>1254133.69</v>
      </c>
    </row>
    <row r="304" spans="1:6" ht="17.25" customHeight="1" x14ac:dyDescent="0.3">
      <c r="A304" s="3">
        <v>301</v>
      </c>
      <c r="B304" s="16">
        <v>1542</v>
      </c>
      <c r="C304" s="9" t="s">
        <v>86</v>
      </c>
      <c r="D304" s="6">
        <v>97810.2</v>
      </c>
      <c r="E304" s="6">
        <v>97810.2</v>
      </c>
      <c r="F304" s="6">
        <v>97810.2</v>
      </c>
    </row>
    <row r="305" spans="1:6" ht="17.25" customHeight="1" x14ac:dyDescent="0.3">
      <c r="A305" s="3">
        <v>302</v>
      </c>
      <c r="B305" s="16">
        <v>1543</v>
      </c>
      <c r="C305" s="9" t="s">
        <v>87</v>
      </c>
      <c r="D305" s="6">
        <v>269345.59999999998</v>
      </c>
      <c r="E305" s="6">
        <v>269345.59999999998</v>
      </c>
      <c r="F305" s="6">
        <v>269345.59999999998</v>
      </c>
    </row>
    <row r="306" spans="1:6" ht="17.25" customHeight="1" x14ac:dyDescent="0.3">
      <c r="A306" s="3">
        <v>303</v>
      </c>
      <c r="B306" s="16">
        <v>1545</v>
      </c>
      <c r="C306" s="9" t="s">
        <v>88</v>
      </c>
      <c r="D306" s="6">
        <f t="shared" ref="D306:F306" si="16">43625082.65+5439060.04</f>
        <v>49064142.689999998</v>
      </c>
      <c r="E306" s="6">
        <f t="shared" si="16"/>
        <v>49064142.689999998</v>
      </c>
      <c r="F306" s="6">
        <f t="shared" si="16"/>
        <v>49064142.689999998</v>
      </c>
    </row>
    <row r="307" spans="1:6" ht="17.25" customHeight="1" x14ac:dyDescent="0.3">
      <c r="A307" s="3">
        <v>304</v>
      </c>
      <c r="B307" s="16">
        <v>1546</v>
      </c>
      <c r="C307" s="9" t="s">
        <v>89</v>
      </c>
      <c r="D307" s="6">
        <v>575190</v>
      </c>
      <c r="E307" s="6">
        <v>575190</v>
      </c>
      <c r="F307" s="6">
        <v>575190</v>
      </c>
    </row>
    <row r="308" spans="1:6" ht="17.25" customHeight="1" x14ac:dyDescent="0.3">
      <c r="A308" s="3">
        <v>305</v>
      </c>
      <c r="B308" s="16">
        <v>1549</v>
      </c>
      <c r="C308" s="7" t="s">
        <v>90</v>
      </c>
      <c r="D308" s="6">
        <v>0</v>
      </c>
      <c r="E308" s="6">
        <v>0</v>
      </c>
      <c r="F308" s="6">
        <v>0</v>
      </c>
    </row>
    <row r="309" spans="1:6" ht="17.25" customHeight="1" x14ac:dyDescent="0.3">
      <c r="A309" s="3">
        <v>306</v>
      </c>
      <c r="B309" s="16">
        <v>1591</v>
      </c>
      <c r="C309" s="7" t="s">
        <v>91</v>
      </c>
      <c r="D309" s="6">
        <f t="shared" ref="D309:F309" si="17">243199046.77+30356400.67</f>
        <v>273555447.44</v>
      </c>
      <c r="E309" s="6">
        <f t="shared" si="17"/>
        <v>273555447.44</v>
      </c>
      <c r="F309" s="6">
        <f t="shared" si="17"/>
        <v>273555447.44</v>
      </c>
    </row>
    <row r="310" spans="1:6" ht="17.25" customHeight="1" x14ac:dyDescent="0.3">
      <c r="A310" s="3">
        <v>307</v>
      </c>
      <c r="B310" s="16">
        <v>2111</v>
      </c>
      <c r="C310" s="9" t="s">
        <v>93</v>
      </c>
      <c r="D310" s="6">
        <f t="shared" ref="D310:F310" si="18">1091954.73+17847.36</f>
        <v>1109802.0900000001</v>
      </c>
      <c r="E310" s="6">
        <f t="shared" si="18"/>
        <v>1109802.0900000001</v>
      </c>
      <c r="F310" s="6">
        <f t="shared" si="18"/>
        <v>1109802.0900000001</v>
      </c>
    </row>
    <row r="311" spans="1:6" ht="17.25" customHeight="1" x14ac:dyDescent="0.3">
      <c r="A311" s="3">
        <v>308</v>
      </c>
      <c r="B311" s="16">
        <v>2121</v>
      </c>
      <c r="C311" s="9" t="s">
        <v>94</v>
      </c>
      <c r="D311" s="6">
        <f t="shared" ref="D311:F311" si="19">59955.76+151869.52</f>
        <v>211825.28</v>
      </c>
      <c r="E311" s="6">
        <f t="shared" si="19"/>
        <v>211825.28</v>
      </c>
      <c r="F311" s="6">
        <f t="shared" si="19"/>
        <v>211825.28</v>
      </c>
    </row>
    <row r="312" spans="1:6" ht="17.25" customHeight="1" x14ac:dyDescent="0.3">
      <c r="A312" s="3">
        <v>309</v>
      </c>
      <c r="B312" s="16">
        <v>2141</v>
      </c>
      <c r="C312" s="9" t="s">
        <v>95</v>
      </c>
      <c r="D312" s="6">
        <f t="shared" ref="D312:F312" si="20">183443.06+93241.43</f>
        <v>276684.49</v>
      </c>
      <c r="E312" s="6">
        <f t="shared" si="20"/>
        <v>276684.49</v>
      </c>
      <c r="F312" s="6">
        <f t="shared" si="20"/>
        <v>276684.49</v>
      </c>
    </row>
    <row r="313" spans="1:6" ht="17.25" customHeight="1" x14ac:dyDescent="0.3">
      <c r="A313" s="3">
        <v>310</v>
      </c>
      <c r="B313" s="16">
        <v>2151</v>
      </c>
      <c r="C313" s="9" t="s">
        <v>96</v>
      </c>
      <c r="D313" s="6">
        <f t="shared" ref="D313:F313" si="21">26189.4+273361.2</f>
        <v>299550.60000000003</v>
      </c>
      <c r="E313" s="6">
        <f t="shared" si="21"/>
        <v>299550.60000000003</v>
      </c>
      <c r="F313" s="6">
        <f t="shared" si="21"/>
        <v>299550.60000000003</v>
      </c>
    </row>
    <row r="314" spans="1:6" ht="17.25" customHeight="1" x14ac:dyDescent="0.3">
      <c r="A314" s="3">
        <v>311</v>
      </c>
      <c r="B314" s="16">
        <v>2161</v>
      </c>
      <c r="C314" s="9" t="s">
        <v>97</v>
      </c>
      <c r="D314" s="6">
        <f t="shared" ref="D314:F314" si="22">1276902.15+131649.56</f>
        <v>1408551.71</v>
      </c>
      <c r="E314" s="6">
        <f t="shared" si="22"/>
        <v>1408551.71</v>
      </c>
      <c r="F314" s="6">
        <f t="shared" si="22"/>
        <v>1408551.71</v>
      </c>
    </row>
    <row r="315" spans="1:6" ht="17.25" customHeight="1" x14ac:dyDescent="0.3">
      <c r="A315" s="3">
        <v>312</v>
      </c>
      <c r="B315" s="16">
        <v>2171</v>
      </c>
      <c r="C315" s="9" t="s">
        <v>98</v>
      </c>
      <c r="D315" s="6">
        <f t="shared" ref="D315:F315" si="23">1739.2+21669.85</f>
        <v>23409.05</v>
      </c>
      <c r="E315" s="6">
        <f t="shared" si="23"/>
        <v>23409.05</v>
      </c>
      <c r="F315" s="6">
        <f t="shared" si="23"/>
        <v>23409.05</v>
      </c>
    </row>
    <row r="316" spans="1:6" ht="17.25" customHeight="1" x14ac:dyDescent="0.3">
      <c r="A316" s="3">
        <v>313</v>
      </c>
      <c r="B316" s="16">
        <v>2181</v>
      </c>
      <c r="C316" s="7" t="s">
        <v>99</v>
      </c>
      <c r="D316" s="6">
        <v>0</v>
      </c>
      <c r="E316" s="6">
        <v>0</v>
      </c>
      <c r="F316" s="6">
        <v>0</v>
      </c>
    </row>
    <row r="317" spans="1:6" ht="17.25" customHeight="1" x14ac:dyDescent="0.3">
      <c r="A317" s="3">
        <v>314</v>
      </c>
      <c r="B317" s="16">
        <v>2211</v>
      </c>
      <c r="C317" s="9" t="s">
        <v>100</v>
      </c>
      <c r="D317" s="6">
        <f t="shared" ref="D317:F317" si="24">8183303.03+363198.31</f>
        <v>8546501.3399999999</v>
      </c>
      <c r="E317" s="6">
        <f t="shared" si="24"/>
        <v>8546501.3399999999</v>
      </c>
      <c r="F317" s="6">
        <f t="shared" si="24"/>
        <v>8546501.3399999999</v>
      </c>
    </row>
    <row r="318" spans="1:6" ht="17.25" customHeight="1" x14ac:dyDescent="0.3">
      <c r="A318" s="3">
        <v>315</v>
      </c>
      <c r="B318" s="16">
        <v>2231</v>
      </c>
      <c r="C318" s="9" t="s">
        <v>101</v>
      </c>
      <c r="D318" s="6">
        <f t="shared" ref="D318:F318" si="25">9373.82+719978.28</f>
        <v>729352.1</v>
      </c>
      <c r="E318" s="6">
        <f t="shared" si="25"/>
        <v>729352.1</v>
      </c>
      <c r="F318" s="6">
        <f t="shared" si="25"/>
        <v>729352.1</v>
      </c>
    </row>
    <row r="319" spans="1:6" ht="17.25" customHeight="1" x14ac:dyDescent="0.3">
      <c r="A319" s="3">
        <v>316</v>
      </c>
      <c r="B319" s="16">
        <v>2321</v>
      </c>
      <c r="C319" s="7" t="s">
        <v>102</v>
      </c>
      <c r="D319" s="6">
        <v>1566</v>
      </c>
      <c r="E319" s="6">
        <v>1566</v>
      </c>
      <c r="F319" s="6">
        <v>1566</v>
      </c>
    </row>
    <row r="320" spans="1:6" ht="17.25" customHeight="1" x14ac:dyDescent="0.3">
      <c r="A320" s="3">
        <v>317</v>
      </c>
      <c r="B320" s="16">
        <v>2331</v>
      </c>
      <c r="C320" s="7" t="s">
        <v>103</v>
      </c>
      <c r="D320" s="6">
        <v>58941.33</v>
      </c>
      <c r="E320" s="6">
        <v>58941.33</v>
      </c>
      <c r="F320" s="6">
        <v>58941.33</v>
      </c>
    </row>
    <row r="321" spans="1:6" ht="17.25" customHeight="1" x14ac:dyDescent="0.3">
      <c r="A321" s="3">
        <v>318</v>
      </c>
      <c r="B321" s="16">
        <v>2341</v>
      </c>
      <c r="C321" s="7" t="s">
        <v>104</v>
      </c>
      <c r="D321" s="6">
        <v>248318.52</v>
      </c>
      <c r="E321" s="6">
        <v>248318.52</v>
      </c>
      <c r="F321" s="6">
        <v>248318.52</v>
      </c>
    </row>
    <row r="322" spans="1:6" ht="17.25" customHeight="1" x14ac:dyDescent="0.3">
      <c r="A322" s="3">
        <v>319</v>
      </c>
      <c r="B322" s="16">
        <v>2351</v>
      </c>
      <c r="C322" s="7" t="s">
        <v>216</v>
      </c>
      <c r="D322" s="6">
        <v>0</v>
      </c>
      <c r="E322" s="6">
        <v>0</v>
      </c>
      <c r="F322" s="6">
        <v>0</v>
      </c>
    </row>
    <row r="323" spans="1:6" ht="17.25" customHeight="1" x14ac:dyDescent="0.3">
      <c r="A323" s="3">
        <v>320</v>
      </c>
      <c r="B323" s="16">
        <v>2391</v>
      </c>
      <c r="C323" s="7" t="s">
        <v>105</v>
      </c>
      <c r="D323" s="6">
        <v>0</v>
      </c>
      <c r="E323" s="6">
        <v>0</v>
      </c>
      <c r="F323" s="6">
        <v>0</v>
      </c>
    </row>
    <row r="324" spans="1:6" ht="17.25" customHeight="1" x14ac:dyDescent="0.3">
      <c r="A324" s="3">
        <v>321</v>
      </c>
      <c r="B324" s="16">
        <v>2419</v>
      </c>
      <c r="C324" s="7" t="s">
        <v>106</v>
      </c>
      <c r="D324" s="6">
        <v>41470</v>
      </c>
      <c r="E324" s="6">
        <v>41470</v>
      </c>
      <c r="F324" s="6">
        <v>41470</v>
      </c>
    </row>
    <row r="325" spans="1:6" ht="17.25" customHeight="1" x14ac:dyDescent="0.3">
      <c r="A325" s="3">
        <v>322</v>
      </c>
      <c r="B325" s="16">
        <v>2421</v>
      </c>
      <c r="C325" s="7" t="s">
        <v>107</v>
      </c>
      <c r="D325" s="6">
        <f t="shared" ref="D325:F325" si="26">4246.88+32803.22</f>
        <v>37050.1</v>
      </c>
      <c r="E325" s="6">
        <f t="shared" si="26"/>
        <v>37050.1</v>
      </c>
      <c r="F325" s="6">
        <f t="shared" si="26"/>
        <v>37050.1</v>
      </c>
    </row>
    <row r="326" spans="1:6" ht="17.25" customHeight="1" x14ac:dyDescent="0.3">
      <c r="A326" s="3">
        <v>323</v>
      </c>
      <c r="B326" s="16">
        <v>2431</v>
      </c>
      <c r="C326" s="7" t="s">
        <v>108</v>
      </c>
      <c r="D326" s="6">
        <v>991</v>
      </c>
      <c r="E326" s="6">
        <v>991</v>
      </c>
      <c r="F326" s="6">
        <v>991</v>
      </c>
    </row>
    <row r="327" spans="1:6" ht="17.25" customHeight="1" x14ac:dyDescent="0.3">
      <c r="A327" s="3">
        <v>324</v>
      </c>
      <c r="B327" s="16">
        <v>2441</v>
      </c>
      <c r="C327" s="7" t="s">
        <v>109</v>
      </c>
      <c r="D327" s="6">
        <f t="shared" ref="D327:F327" si="27">1475.54+28190.32</f>
        <v>29665.86</v>
      </c>
      <c r="E327" s="6">
        <f t="shared" si="27"/>
        <v>29665.86</v>
      </c>
      <c r="F327" s="6">
        <f t="shared" si="27"/>
        <v>29665.86</v>
      </c>
    </row>
    <row r="328" spans="1:6" ht="17.25" customHeight="1" x14ac:dyDescent="0.3">
      <c r="A328" s="3">
        <v>325</v>
      </c>
      <c r="B328" s="16">
        <v>2451</v>
      </c>
      <c r="C328" s="7" t="s">
        <v>110</v>
      </c>
      <c r="D328" s="6">
        <v>2000</v>
      </c>
      <c r="E328" s="6">
        <v>2000</v>
      </c>
      <c r="F328" s="6">
        <v>2000</v>
      </c>
    </row>
    <row r="329" spans="1:6" ht="17.25" customHeight="1" x14ac:dyDescent="0.3">
      <c r="A329" s="3">
        <v>326</v>
      </c>
      <c r="B329" s="16">
        <v>2461</v>
      </c>
      <c r="C329" s="7" t="s">
        <v>111</v>
      </c>
      <c r="D329" s="6">
        <f t="shared" ref="D329:F329" si="28">71029.51+956938.72</f>
        <v>1027968.23</v>
      </c>
      <c r="E329" s="6">
        <f t="shared" si="28"/>
        <v>1027968.23</v>
      </c>
      <c r="F329" s="6">
        <f t="shared" si="28"/>
        <v>1027968.23</v>
      </c>
    </row>
    <row r="330" spans="1:6" ht="17.25" customHeight="1" x14ac:dyDescent="0.3">
      <c r="A330" s="3">
        <v>327</v>
      </c>
      <c r="B330" s="16">
        <v>2471</v>
      </c>
      <c r="C330" s="7" t="s">
        <v>112</v>
      </c>
      <c r="D330" s="6">
        <f t="shared" ref="D330:F330" si="29">13156.71+328023.76</f>
        <v>341180.47000000003</v>
      </c>
      <c r="E330" s="6">
        <f t="shared" si="29"/>
        <v>341180.47000000003</v>
      </c>
      <c r="F330" s="6">
        <f t="shared" si="29"/>
        <v>341180.47000000003</v>
      </c>
    </row>
    <row r="331" spans="1:6" ht="17.25" customHeight="1" x14ac:dyDescent="0.3">
      <c r="A331" s="3">
        <v>328</v>
      </c>
      <c r="B331" s="16">
        <v>2481</v>
      </c>
      <c r="C331" s="7" t="s">
        <v>113</v>
      </c>
      <c r="D331" s="6">
        <f t="shared" ref="D331:F331" si="30">980.69+3184.2</f>
        <v>4164.8899999999994</v>
      </c>
      <c r="E331" s="6">
        <f t="shared" si="30"/>
        <v>4164.8899999999994</v>
      </c>
      <c r="F331" s="6">
        <f t="shared" si="30"/>
        <v>4164.8899999999994</v>
      </c>
    </row>
    <row r="332" spans="1:6" ht="17.25" customHeight="1" x14ac:dyDescent="0.3">
      <c r="A332" s="3">
        <v>329</v>
      </c>
      <c r="B332" s="16">
        <v>2491</v>
      </c>
      <c r="C332" s="7" t="s">
        <v>114</v>
      </c>
      <c r="D332" s="6">
        <f t="shared" ref="D332:F332" si="31">19428.98+172204.14</f>
        <v>191633.12000000002</v>
      </c>
      <c r="E332" s="6">
        <f t="shared" si="31"/>
        <v>191633.12000000002</v>
      </c>
      <c r="F332" s="6">
        <f t="shared" si="31"/>
        <v>191633.12000000002</v>
      </c>
    </row>
    <row r="333" spans="1:6" ht="17.25" customHeight="1" x14ac:dyDescent="0.3">
      <c r="A333" s="3">
        <v>330</v>
      </c>
      <c r="B333" s="16">
        <v>2511</v>
      </c>
      <c r="C333" s="9" t="s">
        <v>115</v>
      </c>
      <c r="D333" s="6">
        <f t="shared" ref="D333:F333" si="32">37375.1+834689.8</f>
        <v>872064.9</v>
      </c>
      <c r="E333" s="6">
        <f t="shared" si="32"/>
        <v>872064.9</v>
      </c>
      <c r="F333" s="6">
        <f t="shared" si="32"/>
        <v>872064.9</v>
      </c>
    </row>
    <row r="334" spans="1:6" ht="17.25" customHeight="1" x14ac:dyDescent="0.3">
      <c r="A334" s="3">
        <v>331</v>
      </c>
      <c r="B334" s="16">
        <v>2531</v>
      </c>
      <c r="C334" s="9" t="s">
        <v>116</v>
      </c>
      <c r="D334" s="6">
        <v>1185.6400000000001</v>
      </c>
      <c r="E334" s="6">
        <v>1185.6400000000001</v>
      </c>
      <c r="F334" s="6">
        <v>1185.6400000000001</v>
      </c>
    </row>
    <row r="335" spans="1:6" ht="17.25" customHeight="1" x14ac:dyDescent="0.3">
      <c r="A335" s="3">
        <v>332</v>
      </c>
      <c r="B335" s="16">
        <v>2541</v>
      </c>
      <c r="C335" s="9" t="s">
        <v>117</v>
      </c>
      <c r="D335" s="6">
        <f t="shared" ref="D335:F335" si="33">21152.54+334.08</f>
        <v>21486.620000000003</v>
      </c>
      <c r="E335" s="6">
        <f t="shared" si="33"/>
        <v>21486.620000000003</v>
      </c>
      <c r="F335" s="6">
        <f t="shared" si="33"/>
        <v>21486.620000000003</v>
      </c>
    </row>
    <row r="336" spans="1:6" ht="17.25" customHeight="1" x14ac:dyDescent="0.3">
      <c r="A336" s="3">
        <v>333</v>
      </c>
      <c r="B336" s="16">
        <v>2551</v>
      </c>
      <c r="C336" s="9" t="s">
        <v>118</v>
      </c>
      <c r="D336" s="6">
        <f t="shared" ref="D336:F336" si="34">185273.1+384208.57</f>
        <v>569481.67000000004</v>
      </c>
      <c r="E336" s="6">
        <f t="shared" si="34"/>
        <v>569481.67000000004</v>
      </c>
      <c r="F336" s="6">
        <f t="shared" si="34"/>
        <v>569481.67000000004</v>
      </c>
    </row>
    <row r="337" spans="1:6" ht="17.25" customHeight="1" x14ac:dyDescent="0.3">
      <c r="A337" s="3">
        <v>334</v>
      </c>
      <c r="B337" s="16">
        <v>2561</v>
      </c>
      <c r="C337" s="9" t="s">
        <v>119</v>
      </c>
      <c r="D337" s="6">
        <f t="shared" ref="D337:F337" si="35">1841.69+265336.77</f>
        <v>267178.46000000002</v>
      </c>
      <c r="E337" s="6">
        <f t="shared" si="35"/>
        <v>267178.46000000002</v>
      </c>
      <c r="F337" s="6">
        <f t="shared" si="35"/>
        <v>267178.46000000002</v>
      </c>
    </row>
    <row r="338" spans="1:6" ht="17.25" customHeight="1" x14ac:dyDescent="0.3">
      <c r="A338" s="3">
        <v>335</v>
      </c>
      <c r="B338" s="16">
        <v>2591</v>
      </c>
      <c r="C338" s="7" t="s">
        <v>120</v>
      </c>
      <c r="D338" s="6">
        <f t="shared" ref="D338:F338" si="36">777.2+141291.37</f>
        <v>142068.57</v>
      </c>
      <c r="E338" s="6">
        <f t="shared" si="36"/>
        <v>142068.57</v>
      </c>
      <c r="F338" s="6">
        <f t="shared" si="36"/>
        <v>142068.57</v>
      </c>
    </row>
    <row r="339" spans="1:6" ht="17.25" customHeight="1" x14ac:dyDescent="0.3">
      <c r="A339" s="3">
        <v>336</v>
      </c>
      <c r="B339" s="16">
        <v>2611</v>
      </c>
      <c r="C339" s="10" t="s">
        <v>121</v>
      </c>
      <c r="D339" s="6">
        <f t="shared" ref="D339:F339" si="37">488524.59+42568.58</f>
        <v>531093.17000000004</v>
      </c>
      <c r="E339" s="6">
        <f t="shared" si="37"/>
        <v>531093.17000000004</v>
      </c>
      <c r="F339" s="6">
        <f t="shared" si="37"/>
        <v>531093.17000000004</v>
      </c>
    </row>
    <row r="340" spans="1:6" ht="17.25" customHeight="1" x14ac:dyDescent="0.3">
      <c r="A340" s="3">
        <v>337</v>
      </c>
      <c r="B340" s="16">
        <v>2711</v>
      </c>
      <c r="C340" s="10" t="s">
        <v>122</v>
      </c>
      <c r="D340" s="6">
        <f t="shared" ref="D340:F340" si="38">9380.94+344675.44</f>
        <v>354056.38</v>
      </c>
      <c r="E340" s="6">
        <f t="shared" si="38"/>
        <v>354056.38</v>
      </c>
      <c r="F340" s="6">
        <f t="shared" si="38"/>
        <v>354056.38</v>
      </c>
    </row>
    <row r="341" spans="1:6" ht="17.25" customHeight="1" x14ac:dyDescent="0.3">
      <c r="A341" s="3">
        <v>338</v>
      </c>
      <c r="B341" s="16">
        <v>2721</v>
      </c>
      <c r="C341" s="10" t="s">
        <v>123</v>
      </c>
      <c r="D341" s="6">
        <f t="shared" ref="D341:F341" si="39">2060.86+1243717.88</f>
        <v>1245778.74</v>
      </c>
      <c r="E341" s="6">
        <f t="shared" si="39"/>
        <v>1245778.74</v>
      </c>
      <c r="F341" s="6">
        <f t="shared" si="39"/>
        <v>1245778.74</v>
      </c>
    </row>
    <row r="342" spans="1:6" ht="17.25" customHeight="1" x14ac:dyDescent="0.3">
      <c r="A342" s="3">
        <v>339</v>
      </c>
      <c r="B342" s="16">
        <v>2731</v>
      </c>
      <c r="C342" s="10" t="s">
        <v>124</v>
      </c>
      <c r="D342" s="6">
        <v>21720.07</v>
      </c>
      <c r="E342" s="6">
        <v>21720.07</v>
      </c>
      <c r="F342" s="6">
        <v>21720.07</v>
      </c>
    </row>
    <row r="343" spans="1:6" ht="17.25" customHeight="1" x14ac:dyDescent="0.3">
      <c r="A343" s="3">
        <v>340</v>
      </c>
      <c r="B343" s="16">
        <v>2741</v>
      </c>
      <c r="C343" s="10" t="s">
        <v>125</v>
      </c>
      <c r="D343" s="6">
        <v>429.93</v>
      </c>
      <c r="E343" s="6">
        <v>429.93</v>
      </c>
      <c r="F343" s="6">
        <v>429.93</v>
      </c>
    </row>
    <row r="344" spans="1:6" ht="17.25" customHeight="1" x14ac:dyDescent="0.3">
      <c r="A344" s="3">
        <v>341</v>
      </c>
      <c r="B344" s="16">
        <v>2751</v>
      </c>
      <c r="C344" s="7" t="s">
        <v>126</v>
      </c>
      <c r="D344" s="6">
        <v>0</v>
      </c>
      <c r="E344" s="6">
        <v>0</v>
      </c>
      <c r="F344" s="6">
        <v>0</v>
      </c>
    </row>
    <row r="345" spans="1:6" ht="17.25" customHeight="1" x14ac:dyDescent="0.3">
      <c r="A345" s="3">
        <v>342</v>
      </c>
      <c r="B345" s="16">
        <v>2831</v>
      </c>
      <c r="C345" s="7" t="s">
        <v>127</v>
      </c>
      <c r="D345" s="6">
        <v>4613.32</v>
      </c>
      <c r="E345" s="6">
        <v>4613.32</v>
      </c>
      <c r="F345" s="6">
        <v>4613.32</v>
      </c>
    </row>
    <row r="346" spans="1:6" ht="17.25" customHeight="1" x14ac:dyDescent="0.3">
      <c r="A346" s="3">
        <v>343</v>
      </c>
      <c r="B346" s="17">
        <v>2911</v>
      </c>
      <c r="C346" s="10" t="s">
        <v>128</v>
      </c>
      <c r="D346" s="6">
        <f t="shared" ref="D346:F346" si="40">52194.69+59337.91</f>
        <v>111532.6</v>
      </c>
      <c r="E346" s="6">
        <f t="shared" si="40"/>
        <v>111532.6</v>
      </c>
      <c r="F346" s="6">
        <f t="shared" si="40"/>
        <v>111532.6</v>
      </c>
    </row>
    <row r="347" spans="1:6" ht="17.25" customHeight="1" x14ac:dyDescent="0.3">
      <c r="A347" s="3">
        <v>344</v>
      </c>
      <c r="B347" s="16">
        <v>2921</v>
      </c>
      <c r="C347" s="10" t="s">
        <v>129</v>
      </c>
      <c r="D347" s="6">
        <f t="shared" ref="D347:F347" si="41">19764.08+177268.7</f>
        <v>197032.78000000003</v>
      </c>
      <c r="E347" s="6">
        <f t="shared" si="41"/>
        <v>197032.78000000003</v>
      </c>
      <c r="F347" s="6">
        <f t="shared" si="41"/>
        <v>197032.78000000003</v>
      </c>
    </row>
    <row r="348" spans="1:6" ht="17.25" customHeight="1" x14ac:dyDescent="0.3">
      <c r="A348" s="3">
        <v>345</v>
      </c>
      <c r="B348" s="16">
        <v>2931</v>
      </c>
      <c r="C348" s="10" t="s">
        <v>130</v>
      </c>
      <c r="D348" s="6">
        <f t="shared" ref="D348:F348" si="42">9770.68+16332.8</f>
        <v>26103.48</v>
      </c>
      <c r="E348" s="6">
        <f t="shared" si="42"/>
        <v>26103.48</v>
      </c>
      <c r="F348" s="6">
        <f t="shared" si="42"/>
        <v>26103.48</v>
      </c>
    </row>
    <row r="349" spans="1:6" ht="17.25" customHeight="1" x14ac:dyDescent="0.3">
      <c r="A349" s="3">
        <v>346</v>
      </c>
      <c r="B349" s="16">
        <v>2941</v>
      </c>
      <c r="C349" s="10" t="s">
        <v>131</v>
      </c>
      <c r="D349" s="6">
        <f t="shared" ref="D349:F349" si="43">195305.58+93649.12</f>
        <v>288954.69999999995</v>
      </c>
      <c r="E349" s="6">
        <f t="shared" si="43"/>
        <v>288954.69999999995</v>
      </c>
      <c r="F349" s="6">
        <f t="shared" si="43"/>
        <v>288954.69999999995</v>
      </c>
    </row>
    <row r="350" spans="1:6" ht="17.25" customHeight="1" x14ac:dyDescent="0.3">
      <c r="A350" s="3">
        <v>347</v>
      </c>
      <c r="B350" s="16">
        <v>2951</v>
      </c>
      <c r="C350" s="7" t="s">
        <v>217</v>
      </c>
      <c r="D350" s="6">
        <v>0</v>
      </c>
      <c r="E350" s="6">
        <v>0</v>
      </c>
      <c r="F350" s="6">
        <v>0</v>
      </c>
    </row>
    <row r="351" spans="1:6" ht="17.25" customHeight="1" x14ac:dyDescent="0.3">
      <c r="A351" s="3">
        <v>348</v>
      </c>
      <c r="B351" s="16">
        <v>2961</v>
      </c>
      <c r="C351" s="7" t="s">
        <v>132</v>
      </c>
      <c r="D351" s="6">
        <v>315.52</v>
      </c>
      <c r="E351" s="6">
        <v>315.52</v>
      </c>
      <c r="F351" s="6">
        <v>315.52</v>
      </c>
    </row>
    <row r="352" spans="1:6" ht="17.25" customHeight="1" x14ac:dyDescent="0.3">
      <c r="A352" s="3">
        <v>349</v>
      </c>
      <c r="B352" s="16">
        <v>2971</v>
      </c>
      <c r="C352" s="7" t="s">
        <v>218</v>
      </c>
      <c r="D352" s="6">
        <v>0</v>
      </c>
      <c r="E352" s="6">
        <v>0</v>
      </c>
      <c r="F352" s="6">
        <v>0</v>
      </c>
    </row>
    <row r="353" spans="1:6" ht="17.25" customHeight="1" x14ac:dyDescent="0.3">
      <c r="A353" s="3">
        <v>350</v>
      </c>
      <c r="B353" s="16">
        <v>2981</v>
      </c>
      <c r="C353" s="7" t="s">
        <v>219</v>
      </c>
      <c r="D353" s="6">
        <v>1392</v>
      </c>
      <c r="E353" s="6">
        <v>1392</v>
      </c>
      <c r="F353" s="6">
        <v>1392</v>
      </c>
    </row>
    <row r="354" spans="1:6" ht="17.25" customHeight="1" x14ac:dyDescent="0.3">
      <c r="A354" s="3">
        <v>351</v>
      </c>
      <c r="B354" s="16">
        <v>2991</v>
      </c>
      <c r="C354" s="7" t="s">
        <v>133</v>
      </c>
      <c r="D354" s="6">
        <v>7473.88</v>
      </c>
      <c r="E354" s="6">
        <v>7473.88</v>
      </c>
      <c r="F354" s="6">
        <v>7473.88</v>
      </c>
    </row>
    <row r="355" spans="1:6" ht="17.25" customHeight="1" x14ac:dyDescent="0.3">
      <c r="A355" s="3">
        <v>352</v>
      </c>
      <c r="B355" s="16">
        <v>3111</v>
      </c>
      <c r="C355" s="7" t="s">
        <v>134</v>
      </c>
      <c r="D355" s="6">
        <v>0</v>
      </c>
      <c r="E355" s="6">
        <v>0</v>
      </c>
      <c r="F355" s="6">
        <v>0</v>
      </c>
    </row>
    <row r="356" spans="1:6" ht="17.25" customHeight="1" x14ac:dyDescent="0.3">
      <c r="A356" s="3">
        <v>353</v>
      </c>
      <c r="B356" s="16">
        <v>3112</v>
      </c>
      <c r="C356" s="10" t="s">
        <v>135</v>
      </c>
      <c r="D356" s="6">
        <f t="shared" ref="D356:F356" si="44">5227931.63+389928</f>
        <v>5617859.6299999999</v>
      </c>
      <c r="E356" s="6">
        <f t="shared" si="44"/>
        <v>5617859.6299999999</v>
      </c>
      <c r="F356" s="6">
        <f t="shared" si="44"/>
        <v>5617859.6299999999</v>
      </c>
    </row>
    <row r="357" spans="1:6" ht="17.25" customHeight="1" x14ac:dyDescent="0.3">
      <c r="A357" s="3">
        <v>354</v>
      </c>
      <c r="B357" s="16">
        <v>3121</v>
      </c>
      <c r="C357" s="10" t="s">
        <v>220</v>
      </c>
      <c r="D357" s="6">
        <v>15185.04</v>
      </c>
      <c r="E357" s="6">
        <v>15185.04</v>
      </c>
      <c r="F357" s="6">
        <v>15185.04</v>
      </c>
    </row>
    <row r="358" spans="1:6" ht="17.25" customHeight="1" x14ac:dyDescent="0.3">
      <c r="A358" s="3">
        <v>355</v>
      </c>
      <c r="B358" s="16">
        <v>3131</v>
      </c>
      <c r="C358" s="10" t="s">
        <v>136</v>
      </c>
      <c r="D358" s="6">
        <f t="shared" ref="D358:F358" si="45">1421536+664659</f>
        <v>2086195</v>
      </c>
      <c r="E358" s="6">
        <f t="shared" si="45"/>
        <v>2086195</v>
      </c>
      <c r="F358" s="6">
        <f t="shared" si="45"/>
        <v>2086195</v>
      </c>
    </row>
    <row r="359" spans="1:6" ht="17.25" customHeight="1" x14ac:dyDescent="0.3">
      <c r="A359" s="3">
        <v>356</v>
      </c>
      <c r="B359" s="16">
        <v>3141</v>
      </c>
      <c r="C359" s="10" t="s">
        <v>137</v>
      </c>
      <c r="D359" s="6">
        <f t="shared" ref="D359:F359" si="46">605774.63+72601.24</f>
        <v>678375.87</v>
      </c>
      <c r="E359" s="6">
        <f t="shared" si="46"/>
        <v>678375.87</v>
      </c>
      <c r="F359" s="6">
        <f t="shared" si="46"/>
        <v>678375.87</v>
      </c>
    </row>
    <row r="360" spans="1:6" ht="17.25" customHeight="1" x14ac:dyDescent="0.3">
      <c r="A360" s="3">
        <v>357</v>
      </c>
      <c r="B360" s="16">
        <v>3161</v>
      </c>
      <c r="C360" s="10" t="s">
        <v>138</v>
      </c>
      <c r="D360" s="6">
        <f t="shared" ref="D360:F360" si="47">36019+47828.76</f>
        <v>83847.760000000009</v>
      </c>
      <c r="E360" s="6">
        <f t="shared" si="47"/>
        <v>83847.760000000009</v>
      </c>
      <c r="F360" s="6">
        <f t="shared" si="47"/>
        <v>83847.760000000009</v>
      </c>
    </row>
    <row r="361" spans="1:6" ht="17.25" customHeight="1" x14ac:dyDescent="0.3">
      <c r="A361" s="3">
        <v>358</v>
      </c>
      <c r="B361" s="16">
        <v>3171</v>
      </c>
      <c r="C361" s="10" t="s">
        <v>139</v>
      </c>
      <c r="D361" s="6">
        <f t="shared" ref="D361:F361" si="48">2727415.3+250031.42</f>
        <v>2977446.7199999997</v>
      </c>
      <c r="E361" s="6">
        <f t="shared" si="48"/>
        <v>2977446.7199999997</v>
      </c>
      <c r="F361" s="6">
        <f t="shared" si="48"/>
        <v>2977446.7199999997</v>
      </c>
    </row>
    <row r="362" spans="1:6" ht="17.25" customHeight="1" x14ac:dyDescent="0.3">
      <c r="A362" s="3">
        <v>359</v>
      </c>
      <c r="B362" s="16">
        <v>3181</v>
      </c>
      <c r="C362" s="10" t="s">
        <v>140</v>
      </c>
      <c r="D362" s="6">
        <v>13239.93</v>
      </c>
      <c r="E362" s="6">
        <v>13239.93</v>
      </c>
      <c r="F362" s="6">
        <v>13239.93</v>
      </c>
    </row>
    <row r="363" spans="1:6" ht="17.25" customHeight="1" x14ac:dyDescent="0.3">
      <c r="A363" s="3">
        <v>360</v>
      </c>
      <c r="B363" s="16">
        <v>3191</v>
      </c>
      <c r="C363" s="7" t="s">
        <v>141</v>
      </c>
      <c r="D363" s="6">
        <f t="shared" ref="D363:F363" si="49">1703518+95642</f>
        <v>1799160</v>
      </c>
      <c r="E363" s="6">
        <f t="shared" si="49"/>
        <v>1799160</v>
      </c>
      <c r="F363" s="6">
        <f t="shared" si="49"/>
        <v>1799160</v>
      </c>
    </row>
    <row r="364" spans="1:6" ht="17.25" customHeight="1" x14ac:dyDescent="0.3">
      <c r="A364" s="3">
        <v>361</v>
      </c>
      <c r="B364" s="16">
        <v>3221</v>
      </c>
      <c r="C364" s="10" t="s">
        <v>142</v>
      </c>
      <c r="D364" s="6">
        <v>6780354.1200000001</v>
      </c>
      <c r="E364" s="6">
        <v>6780354.1200000001</v>
      </c>
      <c r="F364" s="6">
        <v>6780354.1200000001</v>
      </c>
    </row>
    <row r="365" spans="1:6" ht="17.25" customHeight="1" x14ac:dyDescent="0.3">
      <c r="A365" s="3">
        <v>362</v>
      </c>
      <c r="B365" s="16">
        <v>3231</v>
      </c>
      <c r="C365" s="10" t="s">
        <v>143</v>
      </c>
      <c r="D365" s="6">
        <v>23896</v>
      </c>
      <c r="E365" s="6">
        <v>23896</v>
      </c>
      <c r="F365" s="6">
        <v>23896</v>
      </c>
    </row>
    <row r="366" spans="1:6" ht="17.25" customHeight="1" x14ac:dyDescent="0.3">
      <c r="A366" s="3">
        <v>363</v>
      </c>
      <c r="B366" s="16">
        <v>3251</v>
      </c>
      <c r="C366" s="7" t="s">
        <v>144</v>
      </c>
      <c r="D366" s="6">
        <v>0</v>
      </c>
      <c r="E366" s="6">
        <v>0</v>
      </c>
      <c r="F366" s="6">
        <v>0</v>
      </c>
    </row>
    <row r="367" spans="1:6" ht="17.25" customHeight="1" x14ac:dyDescent="0.3">
      <c r="A367" s="3">
        <v>364</v>
      </c>
      <c r="B367" s="16">
        <v>3252</v>
      </c>
      <c r="C367" s="7" t="s">
        <v>221</v>
      </c>
      <c r="D367" s="6">
        <v>0</v>
      </c>
      <c r="E367" s="6">
        <v>0</v>
      </c>
      <c r="F367" s="6">
        <v>0</v>
      </c>
    </row>
    <row r="368" spans="1:6" ht="17.25" customHeight="1" x14ac:dyDescent="0.3">
      <c r="A368" s="3">
        <v>365</v>
      </c>
      <c r="B368" s="16">
        <v>3271</v>
      </c>
      <c r="C368" s="10" t="s">
        <v>145</v>
      </c>
      <c r="D368" s="6">
        <f t="shared" ref="D368:F368" si="50">442167.8+8000</f>
        <v>450167.8</v>
      </c>
      <c r="E368" s="6">
        <f t="shared" si="50"/>
        <v>450167.8</v>
      </c>
      <c r="F368" s="6">
        <f t="shared" si="50"/>
        <v>450167.8</v>
      </c>
    </row>
    <row r="369" spans="1:6" ht="17.25" customHeight="1" x14ac:dyDescent="0.3">
      <c r="A369" s="3">
        <v>366</v>
      </c>
      <c r="B369" s="16">
        <v>3291</v>
      </c>
      <c r="C369" s="10" t="s">
        <v>146</v>
      </c>
      <c r="D369" s="6">
        <v>0</v>
      </c>
      <c r="E369" s="6">
        <v>0</v>
      </c>
      <c r="F369" s="6">
        <v>0</v>
      </c>
    </row>
    <row r="370" spans="1:6" ht="17.25" customHeight="1" x14ac:dyDescent="0.3">
      <c r="A370" s="3">
        <v>367</v>
      </c>
      <c r="B370" s="16">
        <v>3311</v>
      </c>
      <c r="C370" s="10" t="s">
        <v>147</v>
      </c>
      <c r="D370" s="6">
        <v>682871.39</v>
      </c>
      <c r="E370" s="6">
        <v>682871.39</v>
      </c>
      <c r="F370" s="6">
        <v>682871.39</v>
      </c>
    </row>
    <row r="371" spans="1:6" ht="17.25" customHeight="1" x14ac:dyDescent="0.3">
      <c r="A371" s="3">
        <v>368</v>
      </c>
      <c r="B371" s="16">
        <v>3321</v>
      </c>
      <c r="C371" s="7" t="s">
        <v>148</v>
      </c>
      <c r="D371" s="6">
        <f t="shared" ref="D371:F371" si="51">1116710.67</f>
        <v>1116710.67</v>
      </c>
      <c r="E371" s="6">
        <f t="shared" si="51"/>
        <v>1116710.67</v>
      </c>
      <c r="F371" s="6">
        <f t="shared" si="51"/>
        <v>1116710.67</v>
      </c>
    </row>
    <row r="372" spans="1:6" ht="17.25" customHeight="1" x14ac:dyDescent="0.3">
      <c r="A372" s="3">
        <v>369</v>
      </c>
      <c r="B372" s="16">
        <v>3331</v>
      </c>
      <c r="C372" s="10" t="s">
        <v>149</v>
      </c>
      <c r="D372" s="6">
        <f t="shared" ref="D372:F372" si="52">447476.58+690200</f>
        <v>1137676.58</v>
      </c>
      <c r="E372" s="6">
        <f t="shared" si="52"/>
        <v>1137676.58</v>
      </c>
      <c r="F372" s="6">
        <f t="shared" si="52"/>
        <v>1137676.58</v>
      </c>
    </row>
    <row r="373" spans="1:6" ht="17.25" customHeight="1" x14ac:dyDescent="0.3">
      <c r="A373" s="3">
        <v>370</v>
      </c>
      <c r="B373" s="16">
        <v>3341</v>
      </c>
      <c r="C373" s="10" t="s">
        <v>150</v>
      </c>
      <c r="D373" s="6">
        <f t="shared" ref="D373:F373" si="53">12700+10944.6</f>
        <v>23644.6</v>
      </c>
      <c r="E373" s="6">
        <f t="shared" si="53"/>
        <v>23644.6</v>
      </c>
      <c r="F373" s="6">
        <f t="shared" si="53"/>
        <v>23644.6</v>
      </c>
    </row>
    <row r="374" spans="1:6" ht="17.25" customHeight="1" x14ac:dyDescent="0.3">
      <c r="A374" s="3">
        <v>371</v>
      </c>
      <c r="B374" s="16">
        <v>3351</v>
      </c>
      <c r="C374" s="10" t="s">
        <v>151</v>
      </c>
      <c r="D374" s="6">
        <v>10000</v>
      </c>
      <c r="E374" s="6">
        <v>10000</v>
      </c>
      <c r="F374" s="6">
        <v>10000</v>
      </c>
    </row>
    <row r="375" spans="1:6" ht="17.25" customHeight="1" x14ac:dyDescent="0.3">
      <c r="A375" s="3">
        <v>372</v>
      </c>
      <c r="B375" s="16">
        <v>3361</v>
      </c>
      <c r="C375" s="10" t="s">
        <v>152</v>
      </c>
      <c r="D375" s="6">
        <f t="shared" ref="D375:F375" si="54">315853.31+54253.51</f>
        <v>370106.82</v>
      </c>
      <c r="E375" s="6">
        <f t="shared" si="54"/>
        <v>370106.82</v>
      </c>
      <c r="F375" s="6">
        <f t="shared" si="54"/>
        <v>370106.82</v>
      </c>
    </row>
    <row r="376" spans="1:6" ht="17.25" customHeight="1" x14ac:dyDescent="0.3">
      <c r="A376" s="3">
        <v>373</v>
      </c>
      <c r="B376" s="16">
        <v>3362</v>
      </c>
      <c r="C376" s="10" t="s">
        <v>153</v>
      </c>
      <c r="D376" s="6">
        <f t="shared" ref="D376:F376" si="55">17569.6+243357.76</f>
        <v>260927.36000000002</v>
      </c>
      <c r="E376" s="6">
        <f t="shared" si="55"/>
        <v>260927.36000000002</v>
      </c>
      <c r="F376" s="6">
        <f t="shared" si="55"/>
        <v>260927.36000000002</v>
      </c>
    </row>
    <row r="377" spans="1:6" ht="17.25" customHeight="1" x14ac:dyDescent="0.3">
      <c r="A377" s="3">
        <v>374</v>
      </c>
      <c r="B377" s="16">
        <v>3381</v>
      </c>
      <c r="C377" s="10" t="s">
        <v>154</v>
      </c>
      <c r="D377" s="6">
        <f t="shared" ref="D377:F377" si="56">11979184.05+6597718.95</f>
        <v>18576903</v>
      </c>
      <c r="E377" s="6">
        <f t="shared" si="56"/>
        <v>18576903</v>
      </c>
      <c r="F377" s="6">
        <f t="shared" si="56"/>
        <v>18576903</v>
      </c>
    </row>
    <row r="378" spans="1:6" ht="17.25" customHeight="1" x14ac:dyDescent="0.3">
      <c r="A378" s="3">
        <v>375</v>
      </c>
      <c r="B378" s="16">
        <v>3391</v>
      </c>
      <c r="C378" s="10" t="s">
        <v>155</v>
      </c>
      <c r="D378" s="6">
        <f t="shared" ref="D378:F378" si="57">378931.84+170715</f>
        <v>549646.84000000008</v>
      </c>
      <c r="E378" s="6">
        <f t="shared" si="57"/>
        <v>549646.84000000008</v>
      </c>
      <c r="F378" s="6">
        <f t="shared" si="57"/>
        <v>549646.84000000008</v>
      </c>
    </row>
    <row r="379" spans="1:6" ht="17.25" customHeight="1" x14ac:dyDescent="0.3">
      <c r="A379" s="3">
        <v>376</v>
      </c>
      <c r="B379" s="16">
        <v>3411</v>
      </c>
      <c r="C379" s="7" t="s">
        <v>156</v>
      </c>
      <c r="D379" s="6">
        <v>751.68</v>
      </c>
      <c r="E379" s="6">
        <v>751.68</v>
      </c>
      <c r="F379" s="6">
        <v>751.68</v>
      </c>
    </row>
    <row r="380" spans="1:6" ht="17.25" customHeight="1" x14ac:dyDescent="0.3">
      <c r="A380" s="3">
        <v>377</v>
      </c>
      <c r="B380" s="16">
        <v>3451</v>
      </c>
      <c r="C380" s="10" t="s">
        <v>157</v>
      </c>
      <c r="D380" s="6">
        <v>94067.18</v>
      </c>
      <c r="E380" s="6">
        <v>94067.18</v>
      </c>
      <c r="F380" s="6">
        <v>94067.18</v>
      </c>
    </row>
    <row r="381" spans="1:6" ht="17.25" customHeight="1" x14ac:dyDescent="0.3">
      <c r="A381" s="3">
        <v>378</v>
      </c>
      <c r="B381" s="16">
        <v>3461</v>
      </c>
      <c r="C381" s="10" t="s">
        <v>158</v>
      </c>
      <c r="D381" s="6">
        <v>2790</v>
      </c>
      <c r="E381" s="6">
        <v>2790</v>
      </c>
      <c r="F381" s="6">
        <v>2790</v>
      </c>
    </row>
    <row r="382" spans="1:6" ht="17.25" customHeight="1" x14ac:dyDescent="0.3">
      <c r="A382" s="3">
        <v>379</v>
      </c>
      <c r="B382" s="16">
        <v>3471</v>
      </c>
      <c r="C382" s="10" t="s">
        <v>159</v>
      </c>
      <c r="D382" s="6">
        <v>0</v>
      </c>
      <c r="E382" s="6">
        <v>0</v>
      </c>
      <c r="F382" s="6">
        <v>0</v>
      </c>
    </row>
    <row r="383" spans="1:6" ht="17.25" customHeight="1" x14ac:dyDescent="0.3">
      <c r="A383" s="3">
        <v>380</v>
      </c>
      <c r="B383" s="16">
        <v>3511</v>
      </c>
      <c r="C383" s="10" t="s">
        <v>160</v>
      </c>
      <c r="D383" s="6">
        <v>0</v>
      </c>
      <c r="E383" s="6">
        <v>0</v>
      </c>
      <c r="F383" s="6">
        <v>0</v>
      </c>
    </row>
    <row r="384" spans="1:6" ht="17.25" customHeight="1" x14ac:dyDescent="0.3">
      <c r="A384" s="3">
        <v>381</v>
      </c>
      <c r="B384" s="16">
        <v>3521</v>
      </c>
      <c r="C384" s="10" t="s">
        <v>161</v>
      </c>
      <c r="D384" s="6">
        <v>3052.01</v>
      </c>
      <c r="E384" s="6">
        <v>3052.01</v>
      </c>
      <c r="F384" s="6">
        <v>3052.01</v>
      </c>
    </row>
    <row r="385" spans="1:6" ht="17.25" customHeight="1" x14ac:dyDescent="0.3">
      <c r="A385" s="3">
        <v>382</v>
      </c>
      <c r="B385" s="16">
        <v>3531</v>
      </c>
      <c r="C385" s="10" t="s">
        <v>162</v>
      </c>
      <c r="D385" s="6">
        <f t="shared" ref="D385:F385" si="58">3594510.86+41644</f>
        <v>3636154.86</v>
      </c>
      <c r="E385" s="6">
        <f t="shared" si="58"/>
        <v>3636154.86</v>
      </c>
      <c r="F385" s="6">
        <f t="shared" si="58"/>
        <v>3636154.86</v>
      </c>
    </row>
    <row r="386" spans="1:6" ht="17.25" customHeight="1" x14ac:dyDescent="0.3">
      <c r="A386" s="3">
        <v>383</v>
      </c>
      <c r="B386" s="16">
        <v>3541</v>
      </c>
      <c r="C386" s="10" t="s">
        <v>163</v>
      </c>
      <c r="D386" s="6">
        <f t="shared" ref="D386:F386" si="59">9280+156855.2</f>
        <v>166135.20000000001</v>
      </c>
      <c r="E386" s="6">
        <f t="shared" si="59"/>
        <v>166135.20000000001</v>
      </c>
      <c r="F386" s="6">
        <f t="shared" si="59"/>
        <v>166135.20000000001</v>
      </c>
    </row>
    <row r="387" spans="1:6" ht="17.25" customHeight="1" x14ac:dyDescent="0.3">
      <c r="A387" s="3">
        <v>384</v>
      </c>
      <c r="B387" s="16">
        <v>3553</v>
      </c>
      <c r="C387" s="10" t="s">
        <v>164</v>
      </c>
      <c r="D387" s="6">
        <f t="shared" ref="D387:F387" si="60">207246.59+27724</f>
        <v>234970.59</v>
      </c>
      <c r="E387" s="6">
        <f t="shared" si="60"/>
        <v>234970.59</v>
      </c>
      <c r="F387" s="6">
        <f t="shared" si="60"/>
        <v>234970.59</v>
      </c>
    </row>
    <row r="388" spans="1:6" ht="17.25" customHeight="1" x14ac:dyDescent="0.3">
      <c r="A388" s="3">
        <v>385</v>
      </c>
      <c r="B388" s="16">
        <v>3561</v>
      </c>
      <c r="C388" s="10" t="s">
        <v>165</v>
      </c>
      <c r="D388" s="6">
        <f t="shared" ref="D388:F388" si="61">82170.78+188573.08</f>
        <v>270743.86</v>
      </c>
      <c r="E388" s="6">
        <f t="shared" si="61"/>
        <v>270743.86</v>
      </c>
      <c r="F388" s="6">
        <f t="shared" si="61"/>
        <v>270743.86</v>
      </c>
    </row>
    <row r="389" spans="1:6" ht="17.25" customHeight="1" x14ac:dyDescent="0.3">
      <c r="A389" s="3">
        <v>386</v>
      </c>
      <c r="B389" s="16">
        <v>3571</v>
      </c>
      <c r="C389" s="10" t="s">
        <v>166</v>
      </c>
      <c r="D389" s="6">
        <f t="shared" ref="D389:F389" si="62">684218.59+347033.53</f>
        <v>1031252.12</v>
      </c>
      <c r="E389" s="6">
        <f t="shared" si="62"/>
        <v>1031252.12</v>
      </c>
      <c r="F389" s="6">
        <f t="shared" si="62"/>
        <v>1031252.12</v>
      </c>
    </row>
    <row r="390" spans="1:6" ht="17.25" customHeight="1" x14ac:dyDescent="0.3">
      <c r="A390" s="3">
        <v>387</v>
      </c>
      <c r="B390" s="16">
        <v>3581</v>
      </c>
      <c r="C390" s="10" t="s">
        <v>167</v>
      </c>
      <c r="D390" s="6">
        <f t="shared" ref="D390:F390" si="63">7424+115599.8</f>
        <v>123023.8</v>
      </c>
      <c r="E390" s="6">
        <f t="shared" si="63"/>
        <v>123023.8</v>
      </c>
      <c r="F390" s="6">
        <f t="shared" si="63"/>
        <v>123023.8</v>
      </c>
    </row>
    <row r="391" spans="1:6" ht="17.25" customHeight="1" x14ac:dyDescent="0.3">
      <c r="A391" s="3">
        <v>388</v>
      </c>
      <c r="B391" s="16">
        <v>3591</v>
      </c>
      <c r="C391" s="10" t="s">
        <v>168</v>
      </c>
      <c r="D391" s="6">
        <f t="shared" ref="D391:F391" si="64">102486+32509</f>
        <v>134995</v>
      </c>
      <c r="E391" s="6">
        <f t="shared" si="64"/>
        <v>134995</v>
      </c>
      <c r="F391" s="6">
        <f t="shared" si="64"/>
        <v>134995</v>
      </c>
    </row>
    <row r="392" spans="1:6" ht="17.25" customHeight="1" x14ac:dyDescent="0.3">
      <c r="A392" s="3">
        <v>389</v>
      </c>
      <c r="B392" s="16">
        <v>3611</v>
      </c>
      <c r="C392" s="12" t="s">
        <v>169</v>
      </c>
      <c r="D392" s="6">
        <f t="shared" ref="D392:F392" si="65">1661697.09+54741.59</f>
        <v>1716438.6800000002</v>
      </c>
      <c r="E392" s="6">
        <f t="shared" si="65"/>
        <v>1716438.6800000002</v>
      </c>
      <c r="F392" s="6">
        <f t="shared" si="65"/>
        <v>1716438.6800000002</v>
      </c>
    </row>
    <row r="393" spans="1:6" ht="17.25" customHeight="1" x14ac:dyDescent="0.3">
      <c r="A393" s="3">
        <v>390</v>
      </c>
      <c r="B393" s="16">
        <v>3621</v>
      </c>
      <c r="C393" s="7" t="s">
        <v>222</v>
      </c>
      <c r="D393" s="6">
        <v>0</v>
      </c>
      <c r="E393" s="6">
        <v>0</v>
      </c>
      <c r="F393" s="6">
        <v>0</v>
      </c>
    </row>
    <row r="394" spans="1:6" ht="17.25" customHeight="1" x14ac:dyDescent="0.3">
      <c r="A394" s="3">
        <v>391</v>
      </c>
      <c r="B394" s="16">
        <v>3631</v>
      </c>
      <c r="C394" s="7" t="s">
        <v>170</v>
      </c>
      <c r="D394" s="6">
        <v>0</v>
      </c>
      <c r="E394" s="6">
        <v>0</v>
      </c>
      <c r="F394" s="6">
        <v>0</v>
      </c>
    </row>
    <row r="395" spans="1:6" ht="17.25" customHeight="1" x14ac:dyDescent="0.3">
      <c r="A395" s="3">
        <v>392</v>
      </c>
      <c r="B395" s="16">
        <v>3651</v>
      </c>
      <c r="C395" s="10" t="s">
        <v>171</v>
      </c>
      <c r="D395" s="6">
        <v>14790</v>
      </c>
      <c r="E395" s="6">
        <v>14790</v>
      </c>
      <c r="F395" s="6">
        <v>14790</v>
      </c>
    </row>
    <row r="396" spans="1:6" ht="17.25" customHeight="1" x14ac:dyDescent="0.3">
      <c r="A396" s="3">
        <v>393</v>
      </c>
      <c r="B396" s="16">
        <v>3661</v>
      </c>
      <c r="C396" s="7" t="s">
        <v>172</v>
      </c>
      <c r="D396" s="6">
        <v>72500</v>
      </c>
      <c r="E396" s="6">
        <v>72500</v>
      </c>
      <c r="F396" s="6">
        <v>72500</v>
      </c>
    </row>
    <row r="397" spans="1:6" ht="17.25" customHeight="1" x14ac:dyDescent="0.3">
      <c r="A397" s="3">
        <v>394</v>
      </c>
      <c r="B397" s="16">
        <v>3711</v>
      </c>
      <c r="C397" s="10" t="s">
        <v>173</v>
      </c>
      <c r="D397" s="6">
        <f t="shared" ref="D397:F397" si="66">22277+5397</f>
        <v>27674</v>
      </c>
      <c r="E397" s="6">
        <f t="shared" si="66"/>
        <v>27674</v>
      </c>
      <c r="F397" s="6">
        <f t="shared" si="66"/>
        <v>27674</v>
      </c>
    </row>
    <row r="398" spans="1:6" ht="17.25" customHeight="1" x14ac:dyDescent="0.3">
      <c r="A398" s="3">
        <v>395</v>
      </c>
      <c r="B398" s="16">
        <v>3712</v>
      </c>
      <c r="C398" s="10" t="s">
        <v>174</v>
      </c>
      <c r="D398" s="6">
        <f t="shared" ref="D398:F398" si="67">108958.04+22352.39</f>
        <v>131310.43</v>
      </c>
      <c r="E398" s="6">
        <f t="shared" si="67"/>
        <v>131310.43</v>
      </c>
      <c r="F398" s="6">
        <f t="shared" si="67"/>
        <v>131310.43</v>
      </c>
    </row>
    <row r="399" spans="1:6" ht="17.25" customHeight="1" x14ac:dyDescent="0.3">
      <c r="A399" s="3">
        <v>396</v>
      </c>
      <c r="B399" s="16">
        <v>3721</v>
      </c>
      <c r="C399" s="10" t="s">
        <v>175</v>
      </c>
      <c r="D399" s="6">
        <v>7716</v>
      </c>
      <c r="E399" s="6">
        <v>7716</v>
      </c>
      <c r="F399" s="6">
        <v>7716</v>
      </c>
    </row>
    <row r="400" spans="1:6" ht="17.25" customHeight="1" x14ac:dyDescent="0.3">
      <c r="A400" s="3">
        <v>397</v>
      </c>
      <c r="B400" s="16">
        <v>3722</v>
      </c>
      <c r="C400" s="10" t="s">
        <v>176</v>
      </c>
      <c r="D400" s="6">
        <f t="shared" ref="D400:F400" si="68">30718+633</f>
        <v>31351</v>
      </c>
      <c r="E400" s="6">
        <f t="shared" si="68"/>
        <v>31351</v>
      </c>
      <c r="F400" s="6">
        <f t="shared" si="68"/>
        <v>31351</v>
      </c>
    </row>
    <row r="401" spans="1:6" ht="17.25" customHeight="1" x14ac:dyDescent="0.3">
      <c r="A401" s="3">
        <v>398</v>
      </c>
      <c r="B401" s="16">
        <v>3723</v>
      </c>
      <c r="C401" s="7" t="s">
        <v>177</v>
      </c>
      <c r="D401" s="6">
        <v>0</v>
      </c>
      <c r="E401" s="6">
        <v>0</v>
      </c>
      <c r="F401" s="6">
        <v>0</v>
      </c>
    </row>
    <row r="402" spans="1:6" ht="17.25" customHeight="1" x14ac:dyDescent="0.3">
      <c r="A402" s="3">
        <v>399</v>
      </c>
      <c r="B402" s="16">
        <v>3741</v>
      </c>
      <c r="C402" s="7" t="s">
        <v>178</v>
      </c>
      <c r="D402" s="6">
        <v>0</v>
      </c>
      <c r="E402" s="6">
        <v>0</v>
      </c>
      <c r="F402" s="6">
        <v>0</v>
      </c>
    </row>
    <row r="403" spans="1:6" ht="17.25" customHeight="1" x14ac:dyDescent="0.3">
      <c r="A403" s="3">
        <v>400</v>
      </c>
      <c r="B403" s="16">
        <v>3751</v>
      </c>
      <c r="C403" s="10" t="s">
        <v>179</v>
      </c>
      <c r="D403" s="6">
        <f t="shared" ref="D403:F403" si="69">28482.04+14619.98</f>
        <v>43102.020000000004</v>
      </c>
      <c r="E403" s="6">
        <f t="shared" si="69"/>
        <v>43102.020000000004</v>
      </c>
      <c r="F403" s="6">
        <f t="shared" si="69"/>
        <v>43102.020000000004</v>
      </c>
    </row>
    <row r="404" spans="1:6" ht="17.25" customHeight="1" x14ac:dyDescent="0.3">
      <c r="A404" s="3">
        <v>401</v>
      </c>
      <c r="B404" s="16">
        <v>3761</v>
      </c>
      <c r="C404" s="10" t="s">
        <v>180</v>
      </c>
      <c r="D404" s="6">
        <f t="shared" ref="D404:F404" si="70">34330.6+10271.82</f>
        <v>44602.42</v>
      </c>
      <c r="E404" s="6">
        <f t="shared" si="70"/>
        <v>44602.42</v>
      </c>
      <c r="F404" s="6">
        <f t="shared" si="70"/>
        <v>44602.42</v>
      </c>
    </row>
    <row r="405" spans="1:6" ht="17.25" customHeight="1" x14ac:dyDescent="0.3">
      <c r="A405" s="3">
        <v>402</v>
      </c>
      <c r="B405" s="16">
        <v>3781</v>
      </c>
      <c r="C405" s="7" t="s">
        <v>181</v>
      </c>
      <c r="D405" s="6">
        <v>0</v>
      </c>
      <c r="E405" s="6">
        <v>0</v>
      </c>
      <c r="F405" s="6">
        <v>0</v>
      </c>
    </row>
    <row r="406" spans="1:6" ht="17.25" customHeight="1" x14ac:dyDescent="0.3">
      <c r="A406" s="3">
        <v>403</v>
      </c>
      <c r="B406" s="16">
        <v>3791</v>
      </c>
      <c r="C406" s="7" t="s">
        <v>182</v>
      </c>
      <c r="D406" s="6">
        <v>0</v>
      </c>
      <c r="E406" s="6">
        <v>0</v>
      </c>
      <c r="F406" s="6">
        <v>0</v>
      </c>
    </row>
    <row r="407" spans="1:6" ht="17.25" customHeight="1" x14ac:dyDescent="0.3">
      <c r="A407" s="3">
        <v>404</v>
      </c>
      <c r="B407" s="16">
        <v>3823</v>
      </c>
      <c r="C407" s="10" t="s">
        <v>183</v>
      </c>
      <c r="D407" s="6">
        <f t="shared" ref="D407:F407" si="71">852115.14+230572.96</f>
        <v>1082688.1000000001</v>
      </c>
      <c r="E407" s="6">
        <f t="shared" si="71"/>
        <v>1082688.1000000001</v>
      </c>
      <c r="F407" s="6">
        <f t="shared" si="71"/>
        <v>1082688.1000000001</v>
      </c>
    </row>
    <row r="408" spans="1:6" ht="17.25" customHeight="1" x14ac:dyDescent="0.3">
      <c r="A408" s="3">
        <v>405</v>
      </c>
      <c r="B408" s="16">
        <v>3831</v>
      </c>
      <c r="C408" s="10" t="s">
        <v>184</v>
      </c>
      <c r="D408" s="6">
        <v>353952.53</v>
      </c>
      <c r="E408" s="6">
        <v>353952.53</v>
      </c>
      <c r="F408" s="6">
        <v>353952.53</v>
      </c>
    </row>
    <row r="409" spans="1:6" ht="17.25" customHeight="1" x14ac:dyDescent="0.3">
      <c r="A409" s="3">
        <v>406</v>
      </c>
      <c r="B409" s="16">
        <v>3832</v>
      </c>
      <c r="C409" s="10" t="s">
        <v>185</v>
      </c>
      <c r="D409" s="6">
        <f t="shared" ref="D409:F409" si="72">33914.58+3636.82</f>
        <v>37551.4</v>
      </c>
      <c r="E409" s="6">
        <f t="shared" si="72"/>
        <v>37551.4</v>
      </c>
      <c r="F409" s="6">
        <f t="shared" si="72"/>
        <v>37551.4</v>
      </c>
    </row>
    <row r="410" spans="1:6" ht="17.25" customHeight="1" x14ac:dyDescent="0.3">
      <c r="A410" s="3">
        <v>407</v>
      </c>
      <c r="B410" s="16">
        <v>3921</v>
      </c>
      <c r="C410" s="7" t="s">
        <v>186</v>
      </c>
      <c r="D410" s="6">
        <f t="shared" ref="D410:F410" si="73">100084.88+349751.6</f>
        <v>449836.48</v>
      </c>
      <c r="E410" s="6">
        <f t="shared" si="73"/>
        <v>449836.48</v>
      </c>
      <c r="F410" s="6">
        <f t="shared" si="73"/>
        <v>449836.48</v>
      </c>
    </row>
    <row r="411" spans="1:6" ht="17.25" customHeight="1" x14ac:dyDescent="0.3">
      <c r="A411" s="3">
        <v>408</v>
      </c>
      <c r="B411" s="16">
        <v>3969</v>
      </c>
      <c r="C411" s="7" t="s">
        <v>187</v>
      </c>
      <c r="D411" s="6">
        <v>89576.66</v>
      </c>
      <c r="E411" s="6">
        <v>89576.66</v>
      </c>
      <c r="F411" s="6">
        <v>89576.66</v>
      </c>
    </row>
    <row r="412" spans="1:6" ht="17.25" customHeight="1" x14ac:dyDescent="0.3">
      <c r="A412" s="3">
        <v>409</v>
      </c>
      <c r="B412" s="16">
        <v>3981</v>
      </c>
      <c r="C412" s="7" t="s">
        <v>188</v>
      </c>
      <c r="D412" s="6">
        <f t="shared" ref="D412:F412" si="74">15536629+1819487</f>
        <v>17356116</v>
      </c>
      <c r="E412" s="6">
        <f t="shared" si="74"/>
        <v>17356116</v>
      </c>
      <c r="F412" s="6">
        <f t="shared" si="74"/>
        <v>17356116</v>
      </c>
    </row>
    <row r="413" spans="1:6" ht="17.25" customHeight="1" x14ac:dyDescent="0.3">
      <c r="A413" s="3">
        <v>410</v>
      </c>
      <c r="B413" s="16">
        <v>4121</v>
      </c>
      <c r="C413" s="7" t="s">
        <v>189</v>
      </c>
      <c r="D413" s="6">
        <v>0</v>
      </c>
      <c r="E413" s="6">
        <v>0</v>
      </c>
      <c r="F413" s="6">
        <v>0</v>
      </c>
    </row>
    <row r="414" spans="1:6" ht="17.25" customHeight="1" x14ac:dyDescent="0.3">
      <c r="A414" s="3">
        <v>411</v>
      </c>
      <c r="B414" s="16">
        <v>4141</v>
      </c>
      <c r="C414" s="7" t="s">
        <v>223</v>
      </c>
      <c r="D414" s="6">
        <v>0</v>
      </c>
      <c r="E414" s="6">
        <v>0</v>
      </c>
      <c r="F414" s="6">
        <v>0</v>
      </c>
    </row>
    <row r="415" spans="1:6" ht="17.25" customHeight="1" x14ac:dyDescent="0.3">
      <c r="A415" s="3">
        <v>412</v>
      </c>
      <c r="B415" s="16">
        <v>4411</v>
      </c>
      <c r="C415" s="10" t="s">
        <v>190</v>
      </c>
      <c r="D415" s="6">
        <v>44494.720000000001</v>
      </c>
      <c r="E415" s="6">
        <v>44494.720000000001</v>
      </c>
      <c r="F415" s="6">
        <v>44494.720000000001</v>
      </c>
    </row>
    <row r="416" spans="1:6" ht="17.25" customHeight="1" x14ac:dyDescent="0.3">
      <c r="A416" s="3">
        <v>413</v>
      </c>
      <c r="B416" s="16">
        <v>4419</v>
      </c>
      <c r="C416" s="10" t="s">
        <v>191</v>
      </c>
      <c r="D416" s="6">
        <v>25760</v>
      </c>
      <c r="E416" s="6">
        <v>25760</v>
      </c>
      <c r="F416" s="6">
        <v>25760</v>
      </c>
    </row>
    <row r="417" spans="1:6" ht="17.25" customHeight="1" x14ac:dyDescent="0.3">
      <c r="A417" s="3">
        <v>414</v>
      </c>
      <c r="B417" s="16">
        <v>4421</v>
      </c>
      <c r="C417" s="10" t="s">
        <v>192</v>
      </c>
      <c r="D417" s="6">
        <f t="shared" ref="D417:F417" si="75">18226853.8+4035460</f>
        <v>22262313.800000001</v>
      </c>
      <c r="E417" s="6">
        <f t="shared" si="75"/>
        <v>22262313.800000001</v>
      </c>
      <c r="F417" s="6">
        <f t="shared" si="75"/>
        <v>22262313.800000001</v>
      </c>
    </row>
    <row r="418" spans="1:6" ht="17.25" customHeight="1" x14ac:dyDescent="0.3">
      <c r="A418" s="3">
        <v>415</v>
      </c>
      <c r="B418" s="16">
        <v>4441</v>
      </c>
      <c r="C418" s="10" t="s">
        <v>193</v>
      </c>
      <c r="D418" s="6">
        <f t="shared" ref="D418:F418" si="76">583845.69+40667.58</f>
        <v>624513.2699999999</v>
      </c>
      <c r="E418" s="6">
        <f t="shared" si="76"/>
        <v>624513.2699999999</v>
      </c>
      <c r="F418" s="6">
        <f t="shared" si="76"/>
        <v>624513.2699999999</v>
      </c>
    </row>
    <row r="419" spans="1:6" ht="17.25" customHeight="1" x14ac:dyDescent="0.3">
      <c r="A419" s="3">
        <v>416</v>
      </c>
      <c r="B419" s="16">
        <v>5111</v>
      </c>
      <c r="C419" s="10" t="s">
        <v>194</v>
      </c>
      <c r="D419" s="6">
        <f t="shared" ref="D419:F419" si="77">153574.12+524326.06</f>
        <v>677900.18</v>
      </c>
      <c r="E419" s="6">
        <f t="shared" si="77"/>
        <v>677900.18</v>
      </c>
      <c r="F419" s="6">
        <f t="shared" si="77"/>
        <v>677900.18</v>
      </c>
    </row>
    <row r="420" spans="1:6" ht="17.25" customHeight="1" x14ac:dyDescent="0.3">
      <c r="A420" s="3">
        <v>417</v>
      </c>
      <c r="B420" s="16">
        <v>5121</v>
      </c>
      <c r="C420" s="12" t="s">
        <v>224</v>
      </c>
      <c r="D420" s="6">
        <v>0</v>
      </c>
      <c r="E420" s="6">
        <v>0</v>
      </c>
      <c r="F420" s="6">
        <v>0</v>
      </c>
    </row>
    <row r="421" spans="1:6" ht="17.25" customHeight="1" x14ac:dyDescent="0.3">
      <c r="A421" s="3">
        <v>418</v>
      </c>
      <c r="B421" s="16">
        <v>5131</v>
      </c>
      <c r="C421" s="10" t="s">
        <v>195</v>
      </c>
      <c r="D421" s="6">
        <f t="shared" ref="D421:F421" si="78">262471.51+155062.69</f>
        <v>417534.2</v>
      </c>
      <c r="E421" s="6">
        <f t="shared" si="78"/>
        <v>417534.2</v>
      </c>
      <c r="F421" s="6">
        <f t="shared" si="78"/>
        <v>417534.2</v>
      </c>
    </row>
    <row r="422" spans="1:6" ht="17.25" customHeight="1" x14ac:dyDescent="0.3">
      <c r="A422" s="3">
        <v>419</v>
      </c>
      <c r="B422" s="16">
        <v>5151</v>
      </c>
      <c r="C422" s="10" t="s">
        <v>196</v>
      </c>
      <c r="D422" s="6">
        <f t="shared" ref="D422:F422" si="79">240290.88+4110023.58</f>
        <v>4350314.46</v>
      </c>
      <c r="E422" s="6">
        <f t="shared" si="79"/>
        <v>4350314.46</v>
      </c>
      <c r="F422" s="6">
        <f t="shared" si="79"/>
        <v>4350314.46</v>
      </c>
    </row>
    <row r="423" spans="1:6" ht="17.25" customHeight="1" x14ac:dyDescent="0.3">
      <c r="A423" s="3">
        <v>420</v>
      </c>
      <c r="B423" s="16">
        <v>5191</v>
      </c>
      <c r="C423" s="10" t="s">
        <v>197</v>
      </c>
      <c r="D423" s="6">
        <f t="shared" ref="D423:F423" si="80">30921.34+183398.32</f>
        <v>214319.66</v>
      </c>
      <c r="E423" s="6">
        <f t="shared" si="80"/>
        <v>214319.66</v>
      </c>
      <c r="F423" s="6">
        <f t="shared" si="80"/>
        <v>214319.66</v>
      </c>
    </row>
    <row r="424" spans="1:6" ht="17.25" customHeight="1" x14ac:dyDescent="0.3">
      <c r="A424" s="3">
        <v>421</v>
      </c>
      <c r="B424" s="16">
        <v>5211</v>
      </c>
      <c r="C424" s="10" t="s">
        <v>198</v>
      </c>
      <c r="D424" s="6">
        <f t="shared" ref="D424:F424" si="81">63698.99+405190.12</f>
        <v>468889.11</v>
      </c>
      <c r="E424" s="6">
        <f t="shared" si="81"/>
        <v>468889.11</v>
      </c>
      <c r="F424" s="6">
        <f t="shared" si="81"/>
        <v>468889.11</v>
      </c>
    </row>
    <row r="425" spans="1:6" ht="17.25" customHeight="1" x14ac:dyDescent="0.3">
      <c r="A425" s="3">
        <v>422</v>
      </c>
      <c r="B425" s="16">
        <v>5231</v>
      </c>
      <c r="C425" s="10" t="s">
        <v>199</v>
      </c>
      <c r="D425" s="6">
        <f t="shared" ref="D425:F425" si="82">64773.9+179919.48</f>
        <v>244693.38</v>
      </c>
      <c r="E425" s="6">
        <f t="shared" si="82"/>
        <v>244693.38</v>
      </c>
      <c r="F425" s="6">
        <f t="shared" si="82"/>
        <v>244693.38</v>
      </c>
    </row>
    <row r="426" spans="1:6" ht="17.25" customHeight="1" x14ac:dyDescent="0.3">
      <c r="A426" s="3">
        <v>423</v>
      </c>
      <c r="B426" s="16">
        <v>5291</v>
      </c>
      <c r="C426" s="10" t="s">
        <v>200</v>
      </c>
      <c r="D426" s="6">
        <v>83363.399999999994</v>
      </c>
      <c r="E426" s="6">
        <v>83363.399999999994</v>
      </c>
      <c r="F426" s="6">
        <v>83363.399999999994</v>
      </c>
    </row>
    <row r="427" spans="1:6" ht="17.25" customHeight="1" x14ac:dyDescent="0.3">
      <c r="A427" s="3">
        <v>424</v>
      </c>
      <c r="B427" s="16">
        <v>5311</v>
      </c>
      <c r="C427" s="10" t="s">
        <v>201</v>
      </c>
      <c r="D427" s="6">
        <f t="shared" ref="D427:F427" si="83">81025+82379.45</f>
        <v>163404.45000000001</v>
      </c>
      <c r="E427" s="6">
        <f t="shared" si="83"/>
        <v>163404.45000000001</v>
      </c>
      <c r="F427" s="6">
        <f t="shared" si="83"/>
        <v>163404.45000000001</v>
      </c>
    </row>
    <row r="428" spans="1:6" ht="17.25" customHeight="1" x14ac:dyDescent="0.3">
      <c r="A428" s="3">
        <v>425</v>
      </c>
      <c r="B428" s="16">
        <v>5321</v>
      </c>
      <c r="C428" s="10" t="s">
        <v>202</v>
      </c>
      <c r="D428" s="6">
        <f t="shared" ref="D428:F428" si="84">39151+2818.8</f>
        <v>41969.8</v>
      </c>
      <c r="E428" s="6">
        <f t="shared" si="84"/>
        <v>41969.8</v>
      </c>
      <c r="F428" s="6">
        <f t="shared" si="84"/>
        <v>41969.8</v>
      </c>
    </row>
    <row r="429" spans="1:6" ht="17.25" customHeight="1" x14ac:dyDescent="0.3">
      <c r="A429" s="3">
        <v>426</v>
      </c>
      <c r="B429" s="16">
        <v>5411</v>
      </c>
      <c r="C429" s="7" t="s">
        <v>203</v>
      </c>
      <c r="D429" s="6">
        <v>0</v>
      </c>
      <c r="E429" s="6">
        <v>0</v>
      </c>
      <c r="F429" s="6">
        <v>0</v>
      </c>
    </row>
    <row r="430" spans="1:6" ht="17.25" customHeight="1" x14ac:dyDescent="0.3">
      <c r="A430" s="3">
        <v>427</v>
      </c>
      <c r="B430" s="16">
        <v>5413</v>
      </c>
      <c r="C430" s="7" t="s">
        <v>225</v>
      </c>
      <c r="D430" s="6">
        <v>0</v>
      </c>
      <c r="E430" s="6">
        <v>0</v>
      </c>
      <c r="F430" s="6">
        <v>0</v>
      </c>
    </row>
    <row r="431" spans="1:6" ht="17.25" customHeight="1" x14ac:dyDescent="0.3">
      <c r="A431" s="3">
        <v>428</v>
      </c>
      <c r="B431" s="16">
        <v>5491</v>
      </c>
      <c r="C431" s="7" t="s">
        <v>226</v>
      </c>
      <c r="D431" s="6">
        <v>17400</v>
      </c>
      <c r="E431" s="6">
        <v>17400</v>
      </c>
      <c r="F431" s="6">
        <v>17400</v>
      </c>
    </row>
    <row r="432" spans="1:6" ht="17.25" customHeight="1" x14ac:dyDescent="0.3">
      <c r="A432" s="3">
        <v>429</v>
      </c>
      <c r="B432" s="16">
        <v>5611</v>
      </c>
      <c r="C432" s="10" t="s">
        <v>227</v>
      </c>
      <c r="D432" s="6">
        <v>0</v>
      </c>
      <c r="E432" s="6">
        <v>0</v>
      </c>
      <c r="F432" s="6">
        <v>0</v>
      </c>
    </row>
    <row r="433" spans="1:6" ht="17.25" customHeight="1" x14ac:dyDescent="0.3">
      <c r="A433" s="3">
        <v>430</v>
      </c>
      <c r="B433" s="16">
        <v>5621</v>
      </c>
      <c r="C433" s="7" t="s">
        <v>204</v>
      </c>
      <c r="D433" s="6">
        <f t="shared" ref="D433:F433" si="85">13610.28+151095.09</f>
        <v>164705.37</v>
      </c>
      <c r="E433" s="6">
        <f t="shared" si="85"/>
        <v>164705.37</v>
      </c>
      <c r="F433" s="6">
        <f t="shared" si="85"/>
        <v>164705.37</v>
      </c>
    </row>
    <row r="434" spans="1:6" ht="17.25" customHeight="1" x14ac:dyDescent="0.3">
      <c r="A434" s="3">
        <v>431</v>
      </c>
      <c r="B434" s="16">
        <v>5631</v>
      </c>
      <c r="C434" s="7" t="s">
        <v>205</v>
      </c>
      <c r="D434" s="6">
        <v>0</v>
      </c>
      <c r="E434" s="6">
        <v>0</v>
      </c>
      <c r="F434" s="6">
        <v>0</v>
      </c>
    </row>
    <row r="435" spans="1:6" ht="17.25" customHeight="1" x14ac:dyDescent="0.3">
      <c r="A435" s="3">
        <v>432</v>
      </c>
      <c r="B435" s="16">
        <v>5641</v>
      </c>
      <c r="C435" s="7" t="s">
        <v>206</v>
      </c>
      <c r="D435" s="6">
        <v>201034.64</v>
      </c>
      <c r="E435" s="6">
        <v>201034.64</v>
      </c>
      <c r="F435" s="6">
        <v>201034.64</v>
      </c>
    </row>
    <row r="436" spans="1:6" ht="17.25" customHeight="1" x14ac:dyDescent="0.3">
      <c r="A436" s="3">
        <v>433</v>
      </c>
      <c r="B436" s="16">
        <v>5651</v>
      </c>
      <c r="C436" s="7" t="s">
        <v>207</v>
      </c>
      <c r="D436" s="6">
        <v>381372.79</v>
      </c>
      <c r="E436" s="6">
        <v>381372.79</v>
      </c>
      <c r="F436" s="6">
        <v>381372.79</v>
      </c>
    </row>
    <row r="437" spans="1:6" ht="17.25" customHeight="1" x14ac:dyDescent="0.3">
      <c r="A437" s="3">
        <v>434</v>
      </c>
      <c r="B437" s="16">
        <v>5661</v>
      </c>
      <c r="C437" s="7" t="s">
        <v>208</v>
      </c>
      <c r="D437" s="6">
        <v>169424.85</v>
      </c>
      <c r="E437" s="6">
        <v>169424.85</v>
      </c>
      <c r="F437" s="6">
        <v>169424.85</v>
      </c>
    </row>
    <row r="438" spans="1:6" ht="17.25" customHeight="1" x14ac:dyDescent="0.3">
      <c r="A438" s="3">
        <v>435</v>
      </c>
      <c r="B438" s="16">
        <v>5671</v>
      </c>
      <c r="C438" s="7" t="s">
        <v>209</v>
      </c>
      <c r="D438" s="6">
        <v>0</v>
      </c>
      <c r="E438" s="6">
        <v>0</v>
      </c>
      <c r="F438" s="6">
        <v>0</v>
      </c>
    </row>
    <row r="439" spans="1:6" ht="17.25" customHeight="1" x14ac:dyDescent="0.3">
      <c r="A439" s="3">
        <v>436</v>
      </c>
      <c r="B439" s="16">
        <v>5691</v>
      </c>
      <c r="C439" s="7" t="s">
        <v>210</v>
      </c>
      <c r="D439" s="6">
        <v>47676</v>
      </c>
      <c r="E439" s="6">
        <v>47676</v>
      </c>
      <c r="F439" s="6">
        <v>47676</v>
      </c>
    </row>
    <row r="440" spans="1:6" ht="17.25" customHeight="1" x14ac:dyDescent="0.3">
      <c r="A440" s="3">
        <v>437</v>
      </c>
      <c r="B440" s="16">
        <v>5811</v>
      </c>
      <c r="C440" s="7" t="s">
        <v>211</v>
      </c>
      <c r="D440" s="6">
        <v>0</v>
      </c>
      <c r="E440" s="6">
        <v>0</v>
      </c>
      <c r="F440" s="6">
        <v>0</v>
      </c>
    </row>
    <row r="441" spans="1:6" ht="17.25" customHeight="1" x14ac:dyDescent="0.3">
      <c r="A441" s="3">
        <v>438</v>
      </c>
      <c r="B441" s="16">
        <v>5911</v>
      </c>
      <c r="C441" s="7" t="s">
        <v>212</v>
      </c>
      <c r="D441" s="6">
        <v>0</v>
      </c>
      <c r="E441" s="6">
        <v>0</v>
      </c>
      <c r="F441" s="6">
        <v>0</v>
      </c>
    </row>
    <row r="442" spans="1:6" ht="17.25" customHeight="1" x14ac:dyDescent="0.3">
      <c r="A442" s="3">
        <v>439</v>
      </c>
      <c r="B442" s="16">
        <v>5941</v>
      </c>
      <c r="C442" s="7" t="s">
        <v>213</v>
      </c>
      <c r="D442" s="6">
        <v>0</v>
      </c>
      <c r="E442" s="6">
        <v>0</v>
      </c>
      <c r="F442" s="6">
        <v>0</v>
      </c>
    </row>
    <row r="443" spans="1:6" ht="17.25" customHeight="1" x14ac:dyDescent="0.3">
      <c r="A443" s="3">
        <v>440</v>
      </c>
      <c r="B443" s="18">
        <v>6221</v>
      </c>
      <c r="C443" s="7" t="s">
        <v>214</v>
      </c>
      <c r="D443" s="13">
        <f t="shared" ref="D443:F443" si="86">29580254.77+35890716.34</f>
        <v>65470971.109999999</v>
      </c>
      <c r="E443" s="13">
        <f t="shared" si="86"/>
        <v>65470971.109999999</v>
      </c>
      <c r="F443" s="13">
        <f t="shared" si="86"/>
        <v>65470971.109999999</v>
      </c>
    </row>
    <row r="444" spans="1:6" ht="17.25" customHeight="1" x14ac:dyDescent="0.3">
      <c r="A444" s="3">
        <v>441</v>
      </c>
      <c r="B444" s="18">
        <v>6271</v>
      </c>
      <c r="C444" s="7" t="s">
        <v>215</v>
      </c>
      <c r="D444" s="13">
        <v>0</v>
      </c>
      <c r="E444" s="13">
        <v>0</v>
      </c>
      <c r="F444" s="13">
        <v>0</v>
      </c>
    </row>
    <row r="445" spans="1:6" ht="17.25" customHeight="1" x14ac:dyDescent="0.3">
      <c r="A445" s="3">
        <v>442</v>
      </c>
      <c r="B445" s="16">
        <v>1131</v>
      </c>
      <c r="C445" s="7" t="s">
        <v>72</v>
      </c>
      <c r="D445" s="6">
        <f>244942038.32+49540070.39</f>
        <v>294482108.70999998</v>
      </c>
      <c r="E445" s="6">
        <f>244942038.32+49540070.39</f>
        <v>294482108.70999998</v>
      </c>
      <c r="F445" s="6">
        <f>244942038.32+49540070.39</f>
        <v>294482108.70999998</v>
      </c>
    </row>
    <row r="446" spans="1:6" ht="17.25" customHeight="1" x14ac:dyDescent="0.3">
      <c r="A446" s="3">
        <v>443</v>
      </c>
      <c r="B446" s="16">
        <v>1211</v>
      </c>
      <c r="C446" s="7" t="s">
        <v>73</v>
      </c>
      <c r="D446" s="6">
        <f>7955294.14+1002612</f>
        <v>8957906.1400000006</v>
      </c>
      <c r="E446" s="6">
        <f>7955294.14+1002612</f>
        <v>8957906.1400000006</v>
      </c>
      <c r="F446" s="6">
        <f>7955294.14+1002612</f>
        <v>8957906.1400000006</v>
      </c>
    </row>
    <row r="447" spans="1:6" ht="17.25" customHeight="1" x14ac:dyDescent="0.3">
      <c r="A447" s="3">
        <v>444</v>
      </c>
      <c r="B447" s="16">
        <v>1312</v>
      </c>
      <c r="C447" s="7" t="s">
        <v>74</v>
      </c>
      <c r="D447" s="6">
        <v>0</v>
      </c>
      <c r="E447" s="6">
        <v>0</v>
      </c>
      <c r="F447" s="6">
        <v>0</v>
      </c>
    </row>
    <row r="448" spans="1:6" ht="17.25" customHeight="1" x14ac:dyDescent="0.3">
      <c r="A448" s="3">
        <v>445</v>
      </c>
      <c r="B448" s="16">
        <v>1321</v>
      </c>
      <c r="C448" s="8" t="s">
        <v>75</v>
      </c>
      <c r="D448" s="6">
        <v>28225925.82</v>
      </c>
      <c r="E448" s="6">
        <v>28225925.82</v>
      </c>
      <c r="F448" s="6">
        <v>28225925.82</v>
      </c>
    </row>
    <row r="449" spans="1:6" ht="17.25" customHeight="1" x14ac:dyDescent="0.3">
      <c r="A449" s="3">
        <v>446</v>
      </c>
      <c r="B449" s="16">
        <v>1323</v>
      </c>
      <c r="C449" s="8" t="s">
        <v>76</v>
      </c>
      <c r="D449" s="6">
        <f>25639138.33+7634088.51+306968.83</f>
        <v>33580195.669999994</v>
      </c>
      <c r="E449" s="6">
        <f>25639138.33+7634088.51+306968.83</f>
        <v>33580195.669999994</v>
      </c>
      <c r="F449" s="6">
        <f>25639138.33+7634088.51+306968.83</f>
        <v>33580195.669999994</v>
      </c>
    </row>
    <row r="450" spans="1:6" ht="17.25" customHeight="1" x14ac:dyDescent="0.3">
      <c r="A450" s="3">
        <v>447</v>
      </c>
      <c r="B450" s="16">
        <v>1331</v>
      </c>
      <c r="C450" s="8" t="s">
        <v>77</v>
      </c>
      <c r="D450" s="6">
        <f>946595.5+152906.1</f>
        <v>1099501.6000000001</v>
      </c>
      <c r="E450" s="6">
        <f>946595.5+152906.1</f>
        <v>1099501.6000000001</v>
      </c>
      <c r="F450" s="6">
        <f>946595.5+152906.1</f>
        <v>1099501.6000000001</v>
      </c>
    </row>
    <row r="451" spans="1:6" ht="17.25" customHeight="1" x14ac:dyDescent="0.3">
      <c r="A451" s="3">
        <v>448</v>
      </c>
      <c r="B451" s="16">
        <v>1342</v>
      </c>
      <c r="C451" s="8" t="s">
        <v>78</v>
      </c>
      <c r="D451" s="6">
        <v>46776</v>
      </c>
      <c r="E451" s="6">
        <v>46776</v>
      </c>
      <c r="F451" s="6">
        <v>46776</v>
      </c>
    </row>
    <row r="452" spans="1:6" ht="17.25" customHeight="1" x14ac:dyDescent="0.3">
      <c r="A452" s="3">
        <v>449</v>
      </c>
      <c r="B452" s="16">
        <v>1411</v>
      </c>
      <c r="C452" s="9" t="s">
        <v>79</v>
      </c>
      <c r="D452" s="6">
        <f>27420154.12+2468290.26</f>
        <v>29888444.380000003</v>
      </c>
      <c r="E452" s="6">
        <f>27420154.12+2468290.26</f>
        <v>29888444.380000003</v>
      </c>
      <c r="F452" s="6">
        <f>27420154.12+2468290.26</f>
        <v>29888444.380000003</v>
      </c>
    </row>
    <row r="453" spans="1:6" ht="17.25" customHeight="1" x14ac:dyDescent="0.3">
      <c r="A453" s="3">
        <v>450</v>
      </c>
      <c r="B453" s="16">
        <v>1421</v>
      </c>
      <c r="C453" s="9" t="s">
        <v>80</v>
      </c>
      <c r="D453" s="6">
        <f>12224165.1+2491429.79</f>
        <v>14715594.890000001</v>
      </c>
      <c r="E453" s="6">
        <f>12224165.1+2491429.79</f>
        <v>14715594.890000001</v>
      </c>
      <c r="F453" s="6">
        <f>12224165.1+2491429.79</f>
        <v>14715594.890000001</v>
      </c>
    </row>
    <row r="454" spans="1:6" ht="17.25" customHeight="1" x14ac:dyDescent="0.3">
      <c r="A454" s="3">
        <v>451</v>
      </c>
      <c r="B454" s="16">
        <v>1431</v>
      </c>
      <c r="C454" s="9" t="s">
        <v>81</v>
      </c>
      <c r="D454" s="6">
        <f>16680108.56+170249.16</f>
        <v>16850357.719999999</v>
      </c>
      <c r="E454" s="6">
        <f>16680108.56+170249.16</f>
        <v>16850357.719999999</v>
      </c>
      <c r="F454" s="6">
        <f>16680108.56+170249.16</f>
        <v>16850357.719999999</v>
      </c>
    </row>
    <row r="455" spans="1:6" ht="17.25" customHeight="1" x14ac:dyDescent="0.3">
      <c r="A455" s="3">
        <v>452</v>
      </c>
      <c r="B455" s="16">
        <v>1441</v>
      </c>
      <c r="C455" s="9" t="s">
        <v>82</v>
      </c>
      <c r="D455" s="6">
        <v>13361155.050000001</v>
      </c>
      <c r="E455" s="6">
        <v>13361155.050000001</v>
      </c>
      <c r="F455" s="6">
        <v>13361155.050000001</v>
      </c>
    </row>
    <row r="456" spans="1:6" ht="17.25" customHeight="1" x14ac:dyDescent="0.3">
      <c r="A456" s="3">
        <v>453</v>
      </c>
      <c r="B456" s="16">
        <v>1443</v>
      </c>
      <c r="C456" s="9" t="s">
        <v>83</v>
      </c>
      <c r="D456" s="6">
        <v>0</v>
      </c>
      <c r="E456" s="6">
        <v>0</v>
      </c>
      <c r="F456" s="6">
        <v>0</v>
      </c>
    </row>
    <row r="457" spans="1:6" ht="17.25" customHeight="1" x14ac:dyDescent="0.3">
      <c r="A457" s="3">
        <v>454</v>
      </c>
      <c r="B457" s="16">
        <v>1521</v>
      </c>
      <c r="C457" s="9" t="s">
        <v>84</v>
      </c>
      <c r="D457" s="6">
        <v>2066779.48</v>
      </c>
      <c r="E457" s="6">
        <v>2066779.48</v>
      </c>
      <c r="F457" s="6">
        <v>2066779.48</v>
      </c>
    </row>
    <row r="458" spans="1:6" ht="17.25" customHeight="1" x14ac:dyDescent="0.3">
      <c r="A458" s="3">
        <v>455</v>
      </c>
      <c r="B458" s="16">
        <v>1541</v>
      </c>
      <c r="C458" s="9" t="s">
        <v>85</v>
      </c>
      <c r="D458" s="6">
        <v>1724536</v>
      </c>
      <c r="E458" s="6">
        <v>1724536</v>
      </c>
      <c r="F458" s="6">
        <v>1724536</v>
      </c>
    </row>
    <row r="459" spans="1:6" ht="17.25" customHeight="1" x14ac:dyDescent="0.3">
      <c r="A459" s="3">
        <v>456</v>
      </c>
      <c r="B459" s="16">
        <v>1542</v>
      </c>
      <c r="C459" s="9" t="s">
        <v>86</v>
      </c>
      <c r="D459" s="6">
        <v>117531</v>
      </c>
      <c r="E459" s="6">
        <v>117531</v>
      </c>
      <c r="F459" s="6">
        <v>117531</v>
      </c>
    </row>
    <row r="460" spans="1:6" ht="17.25" customHeight="1" x14ac:dyDescent="0.3">
      <c r="A460" s="3">
        <v>457</v>
      </c>
      <c r="B460" s="16">
        <v>1543</v>
      </c>
      <c r="C460" s="9" t="s">
        <v>87</v>
      </c>
      <c r="D460" s="6">
        <v>269345.59999999998</v>
      </c>
      <c r="E460" s="6">
        <v>269345.59999999998</v>
      </c>
      <c r="F460" s="6">
        <v>269345.59999999998</v>
      </c>
    </row>
    <row r="461" spans="1:6" ht="17.25" customHeight="1" x14ac:dyDescent="0.3">
      <c r="A461" s="3">
        <v>458</v>
      </c>
      <c r="B461" s="16">
        <v>1545</v>
      </c>
      <c r="C461" s="9" t="s">
        <v>88</v>
      </c>
      <c r="D461" s="6">
        <f>54516347.19+10915031.69</f>
        <v>65431378.879999995</v>
      </c>
      <c r="E461" s="6">
        <f>54516347.19+10915031.69</f>
        <v>65431378.879999995</v>
      </c>
      <c r="F461" s="6">
        <f>54516347.19+10915031.69</f>
        <v>65431378.879999995</v>
      </c>
    </row>
    <row r="462" spans="1:6" ht="17.25" customHeight="1" x14ac:dyDescent="0.3">
      <c r="A462" s="3">
        <v>459</v>
      </c>
      <c r="B462" s="16">
        <v>1546</v>
      </c>
      <c r="C462" s="9" t="s">
        <v>89</v>
      </c>
      <c r="D462" s="6">
        <v>858220</v>
      </c>
      <c r="E462" s="6">
        <v>858220</v>
      </c>
      <c r="F462" s="6">
        <v>858220</v>
      </c>
    </row>
    <row r="463" spans="1:6" ht="17.25" customHeight="1" x14ac:dyDescent="0.3">
      <c r="A463" s="3">
        <v>460</v>
      </c>
      <c r="B463" s="16">
        <v>1549</v>
      </c>
      <c r="C463" s="7" t="s">
        <v>90</v>
      </c>
      <c r="D463" s="6">
        <v>359356.8</v>
      </c>
      <c r="E463" s="6">
        <v>359356.8</v>
      </c>
      <c r="F463" s="6">
        <v>359356.8</v>
      </c>
    </row>
    <row r="464" spans="1:6" ht="17.25" customHeight="1" x14ac:dyDescent="0.3">
      <c r="A464" s="3">
        <v>461</v>
      </c>
      <c r="B464" s="16">
        <v>1591</v>
      </c>
      <c r="C464" s="7" t="s">
        <v>91</v>
      </c>
      <c r="D464" s="6">
        <f>336887493.25+73803619.1+507476.76</f>
        <v>411198589.11000001</v>
      </c>
      <c r="E464" s="6">
        <f>336887493.25+73803619.1+507476.76</f>
        <v>411198589.11000001</v>
      </c>
      <c r="F464" s="6">
        <f>336887493.25+73803619.1+507476.76</f>
        <v>411198589.11000001</v>
      </c>
    </row>
    <row r="465" spans="1:6" ht="17.25" customHeight="1" x14ac:dyDescent="0.3">
      <c r="A465" s="3">
        <v>462</v>
      </c>
      <c r="B465" s="16">
        <v>2111</v>
      </c>
      <c r="C465" s="9" t="s">
        <v>93</v>
      </c>
      <c r="D465" s="6">
        <f>1594715.61+22254.2</f>
        <v>1616969.81</v>
      </c>
      <c r="E465" s="6">
        <f>1594715.61+22254.2</f>
        <v>1616969.81</v>
      </c>
      <c r="F465" s="6">
        <f>1594715.61+22254.2</f>
        <v>1616969.81</v>
      </c>
    </row>
    <row r="466" spans="1:6" ht="17.25" customHeight="1" x14ac:dyDescent="0.3">
      <c r="A466" s="3">
        <v>463</v>
      </c>
      <c r="B466" s="16">
        <v>2121</v>
      </c>
      <c r="C466" s="9" t="s">
        <v>94</v>
      </c>
      <c r="D466" s="6">
        <f>692566.82+153191.92</f>
        <v>845758.74</v>
      </c>
      <c r="E466" s="6">
        <f>692566.82+153191.92</f>
        <v>845758.74</v>
      </c>
      <c r="F466" s="6">
        <f>692566.82+153191.92</f>
        <v>845758.74</v>
      </c>
    </row>
    <row r="467" spans="1:6" ht="17.25" customHeight="1" x14ac:dyDescent="0.3">
      <c r="A467" s="3">
        <v>464</v>
      </c>
      <c r="B467" s="16">
        <v>2141</v>
      </c>
      <c r="C467" s="9" t="s">
        <v>95</v>
      </c>
      <c r="D467" s="6">
        <f>2898503.38+2680891.71</f>
        <v>5579395.0899999999</v>
      </c>
      <c r="E467" s="6">
        <f>2898503.38+2680891.71</f>
        <v>5579395.0899999999</v>
      </c>
      <c r="F467" s="6">
        <f>2898503.38+2680891.71</f>
        <v>5579395.0899999999</v>
      </c>
    </row>
    <row r="468" spans="1:6" ht="17.25" customHeight="1" x14ac:dyDescent="0.3">
      <c r="A468" s="3">
        <v>465</v>
      </c>
      <c r="B468" s="16">
        <v>2151</v>
      </c>
      <c r="C468" s="9" t="s">
        <v>96</v>
      </c>
      <c r="D468" s="6">
        <f>747457.27+385409.9</f>
        <v>1132867.17</v>
      </c>
      <c r="E468" s="6">
        <f>747457.27+385409.9</f>
        <v>1132867.17</v>
      </c>
      <c r="F468" s="6">
        <f>747457.27+385409.9</f>
        <v>1132867.17</v>
      </c>
    </row>
    <row r="469" spans="1:6" ht="17.25" customHeight="1" x14ac:dyDescent="0.3">
      <c r="A469" s="3">
        <v>466</v>
      </c>
      <c r="B469" s="16">
        <v>2161</v>
      </c>
      <c r="C469" s="9" t="s">
        <v>97</v>
      </c>
      <c r="D469" s="6">
        <f>1592906.95+140820.29</f>
        <v>1733727.24</v>
      </c>
      <c r="E469" s="6">
        <f>1592906.95+140820.29</f>
        <v>1733727.24</v>
      </c>
      <c r="F469" s="6">
        <f>1592906.95+140820.29</f>
        <v>1733727.24</v>
      </c>
    </row>
    <row r="470" spans="1:6" ht="17.25" customHeight="1" x14ac:dyDescent="0.3">
      <c r="A470" s="3">
        <v>467</v>
      </c>
      <c r="B470" s="16">
        <v>2171</v>
      </c>
      <c r="C470" s="9" t="s">
        <v>98</v>
      </c>
      <c r="D470" s="6">
        <f>45008.17+21669.85</f>
        <v>66678.01999999999</v>
      </c>
      <c r="E470" s="6">
        <f>45008.17+21669.85</f>
        <v>66678.01999999999</v>
      </c>
      <c r="F470" s="6">
        <f>45008.17+21669.85</f>
        <v>66678.01999999999</v>
      </c>
    </row>
    <row r="471" spans="1:6" ht="17.25" customHeight="1" x14ac:dyDescent="0.3">
      <c r="A471" s="3">
        <v>468</v>
      </c>
      <c r="B471" s="16">
        <v>2181</v>
      </c>
      <c r="C471" s="7" t="s">
        <v>99</v>
      </c>
      <c r="D471" s="6">
        <v>29092.799999999999</v>
      </c>
      <c r="E471" s="6">
        <v>29092.799999999999</v>
      </c>
      <c r="F471" s="6">
        <v>29092.799999999999</v>
      </c>
    </row>
    <row r="472" spans="1:6" ht="17.25" customHeight="1" x14ac:dyDescent="0.3">
      <c r="A472" s="3">
        <v>469</v>
      </c>
      <c r="B472" s="16">
        <v>2211</v>
      </c>
      <c r="C472" s="9" t="s">
        <v>100</v>
      </c>
      <c r="D472" s="6">
        <f>11899152.82+363198.31</f>
        <v>12262351.130000001</v>
      </c>
      <c r="E472" s="6">
        <f>11899152.82+363198.31</f>
        <v>12262351.130000001</v>
      </c>
      <c r="F472" s="6">
        <f>11899152.82+363198.31</f>
        <v>12262351.130000001</v>
      </c>
    </row>
    <row r="473" spans="1:6" ht="17.25" customHeight="1" x14ac:dyDescent="0.3">
      <c r="A473" s="3">
        <v>470</v>
      </c>
      <c r="B473" s="16">
        <v>2231</v>
      </c>
      <c r="C473" s="9" t="s">
        <v>101</v>
      </c>
      <c r="D473" s="6">
        <f>141242.11+719978.28</f>
        <v>861220.39</v>
      </c>
      <c r="E473" s="6">
        <f>141242.11+719978.28</f>
        <v>861220.39</v>
      </c>
      <c r="F473" s="6">
        <f>141242.11+719978.28</f>
        <v>861220.39</v>
      </c>
    </row>
    <row r="474" spans="1:6" ht="17.25" customHeight="1" x14ac:dyDescent="0.3">
      <c r="A474" s="3">
        <v>471</v>
      </c>
      <c r="B474" s="16">
        <v>2321</v>
      </c>
      <c r="C474" s="7" t="s">
        <v>102</v>
      </c>
      <c r="D474" s="6">
        <v>1566</v>
      </c>
      <c r="E474" s="6">
        <v>1566</v>
      </c>
      <c r="F474" s="6">
        <v>1566</v>
      </c>
    </row>
    <row r="475" spans="1:6" ht="17.25" customHeight="1" x14ac:dyDescent="0.3">
      <c r="A475" s="3">
        <v>472</v>
      </c>
      <c r="B475" s="16">
        <v>2331</v>
      </c>
      <c r="C475" s="7" t="s">
        <v>103</v>
      </c>
      <c r="D475" s="6">
        <v>163109.32999999999</v>
      </c>
      <c r="E475" s="6">
        <v>163109.32999999999</v>
      </c>
      <c r="F475" s="6">
        <v>163109.32999999999</v>
      </c>
    </row>
    <row r="476" spans="1:6" ht="17.25" customHeight="1" x14ac:dyDescent="0.3">
      <c r="A476" s="3">
        <v>473</v>
      </c>
      <c r="B476" s="16">
        <v>2341</v>
      </c>
      <c r="C476" s="7" t="s">
        <v>104</v>
      </c>
      <c r="D476" s="6">
        <v>409469.68</v>
      </c>
      <c r="E476" s="6">
        <v>409469.68</v>
      </c>
      <c r="F476" s="6">
        <v>409469.68</v>
      </c>
    </row>
    <row r="477" spans="1:6" ht="17.25" customHeight="1" x14ac:dyDescent="0.3">
      <c r="A477" s="3">
        <v>474</v>
      </c>
      <c r="B477" s="16">
        <v>2351</v>
      </c>
      <c r="C477" s="7" t="s">
        <v>216</v>
      </c>
      <c r="D477" s="6">
        <v>2388.56</v>
      </c>
      <c r="E477" s="6">
        <v>2388.56</v>
      </c>
      <c r="F477" s="6">
        <v>2388.56</v>
      </c>
    </row>
    <row r="478" spans="1:6" ht="17.25" customHeight="1" x14ac:dyDescent="0.3">
      <c r="A478" s="3">
        <v>475</v>
      </c>
      <c r="B478" s="16">
        <v>2391</v>
      </c>
      <c r="C478" s="7" t="s">
        <v>105</v>
      </c>
      <c r="D478" s="6">
        <v>0</v>
      </c>
      <c r="E478" s="6">
        <v>0</v>
      </c>
      <c r="F478" s="6">
        <v>0</v>
      </c>
    </row>
    <row r="479" spans="1:6" ht="17.25" customHeight="1" x14ac:dyDescent="0.3">
      <c r="A479" s="3">
        <v>476</v>
      </c>
      <c r="B479" s="16">
        <v>2419</v>
      </c>
      <c r="C479" s="7" t="s">
        <v>106</v>
      </c>
      <c r="D479" s="6">
        <v>41470</v>
      </c>
      <c r="E479" s="6">
        <v>41470</v>
      </c>
      <c r="F479" s="6">
        <v>41470</v>
      </c>
    </row>
    <row r="480" spans="1:6" ht="17.25" customHeight="1" x14ac:dyDescent="0.3">
      <c r="A480" s="3">
        <v>477</v>
      </c>
      <c r="B480" s="16">
        <v>2421</v>
      </c>
      <c r="C480" s="7" t="s">
        <v>107</v>
      </c>
      <c r="D480" s="6">
        <f>17630.69+32803.22</f>
        <v>50433.91</v>
      </c>
      <c r="E480" s="6">
        <f>17630.69+32803.22</f>
        <v>50433.91</v>
      </c>
      <c r="F480" s="6">
        <f>17630.69+32803.22</f>
        <v>50433.91</v>
      </c>
    </row>
    <row r="481" spans="1:6" ht="17.25" customHeight="1" x14ac:dyDescent="0.3">
      <c r="A481" s="3">
        <v>478</v>
      </c>
      <c r="B481" s="16">
        <v>2431</v>
      </c>
      <c r="C481" s="7" t="s">
        <v>108</v>
      </c>
      <c r="D481" s="6">
        <v>17681.080000000002</v>
      </c>
      <c r="E481" s="6">
        <v>17681.080000000002</v>
      </c>
      <c r="F481" s="6">
        <v>17681.080000000002</v>
      </c>
    </row>
    <row r="482" spans="1:6" ht="17.25" customHeight="1" x14ac:dyDescent="0.3">
      <c r="A482" s="3">
        <v>479</v>
      </c>
      <c r="B482" s="16">
        <v>2441</v>
      </c>
      <c r="C482" s="7" t="s">
        <v>109</v>
      </c>
      <c r="D482" s="6">
        <f>1475.54+28190.32</f>
        <v>29665.86</v>
      </c>
      <c r="E482" s="6">
        <f>1475.54+28190.32</f>
        <v>29665.86</v>
      </c>
      <c r="F482" s="6">
        <f>1475.54+28190.32</f>
        <v>29665.86</v>
      </c>
    </row>
    <row r="483" spans="1:6" ht="17.25" customHeight="1" x14ac:dyDescent="0.3">
      <c r="A483" s="3">
        <v>480</v>
      </c>
      <c r="B483" s="16">
        <v>2451</v>
      </c>
      <c r="C483" s="7" t="s">
        <v>110</v>
      </c>
      <c r="D483" s="6">
        <v>2000</v>
      </c>
      <c r="E483" s="6">
        <v>2000</v>
      </c>
      <c r="F483" s="6">
        <v>2000</v>
      </c>
    </row>
    <row r="484" spans="1:6" ht="17.25" customHeight="1" x14ac:dyDescent="0.3">
      <c r="A484" s="3">
        <v>481</v>
      </c>
      <c r="B484" s="16">
        <v>2461</v>
      </c>
      <c r="C484" s="7" t="s">
        <v>111</v>
      </c>
      <c r="D484" s="6">
        <f>141824.29+1059395.72</f>
        <v>1201220.01</v>
      </c>
      <c r="E484" s="6">
        <f>141824.29+1059395.72</f>
        <v>1201220.01</v>
      </c>
      <c r="F484" s="6">
        <f>141824.29+1059395.72</f>
        <v>1201220.01</v>
      </c>
    </row>
    <row r="485" spans="1:6" ht="17.25" customHeight="1" x14ac:dyDescent="0.3">
      <c r="A485" s="3">
        <v>482</v>
      </c>
      <c r="B485" s="16">
        <v>2471</v>
      </c>
      <c r="C485" s="7" t="s">
        <v>112</v>
      </c>
      <c r="D485" s="6">
        <f>26544.41+328405.86</f>
        <v>354950.26999999996</v>
      </c>
      <c r="E485" s="6">
        <f>26544.41+328405.86</f>
        <v>354950.26999999996</v>
      </c>
      <c r="F485" s="6">
        <f>26544.41+328405.86</f>
        <v>354950.26999999996</v>
      </c>
    </row>
    <row r="486" spans="1:6" ht="17.25" customHeight="1" x14ac:dyDescent="0.3">
      <c r="A486" s="3">
        <v>483</v>
      </c>
      <c r="B486" s="16">
        <v>2481</v>
      </c>
      <c r="C486" s="7" t="s">
        <v>113</v>
      </c>
      <c r="D486" s="6">
        <f>106108.86+49757.78</f>
        <v>155866.64000000001</v>
      </c>
      <c r="E486" s="6">
        <f>106108.86+49757.78</f>
        <v>155866.64000000001</v>
      </c>
      <c r="F486" s="6">
        <f>106108.86+49757.78</f>
        <v>155866.64000000001</v>
      </c>
    </row>
    <row r="487" spans="1:6" ht="17.25" customHeight="1" x14ac:dyDescent="0.3">
      <c r="A487" s="3">
        <v>484</v>
      </c>
      <c r="B487" s="16">
        <v>2491</v>
      </c>
      <c r="C487" s="7" t="s">
        <v>114</v>
      </c>
      <c r="D487" s="6">
        <f>46236.17+172204.14</f>
        <v>218440.31</v>
      </c>
      <c r="E487" s="6">
        <f>46236.17+172204.14</f>
        <v>218440.31</v>
      </c>
      <c r="F487" s="6">
        <f>46236.17+172204.14</f>
        <v>218440.31</v>
      </c>
    </row>
    <row r="488" spans="1:6" ht="17.25" customHeight="1" x14ac:dyDescent="0.3">
      <c r="A488" s="3">
        <v>485</v>
      </c>
      <c r="B488" s="16">
        <v>2511</v>
      </c>
      <c r="C488" s="9" t="s">
        <v>115</v>
      </c>
      <c r="D488" s="6">
        <f>101056.88+1043105.21</f>
        <v>1144162.0899999999</v>
      </c>
      <c r="E488" s="6">
        <f>101056.88+1043105.21</f>
        <v>1144162.0899999999</v>
      </c>
      <c r="F488" s="6">
        <f>101056.88+1043105.21</f>
        <v>1144162.0899999999</v>
      </c>
    </row>
    <row r="489" spans="1:6" ht="17.25" customHeight="1" x14ac:dyDescent="0.3">
      <c r="A489" s="3">
        <v>486</v>
      </c>
      <c r="B489" s="16">
        <v>2521</v>
      </c>
      <c r="C489" s="9" t="s">
        <v>228</v>
      </c>
      <c r="D489" s="6">
        <v>145</v>
      </c>
      <c r="E489" s="6">
        <v>145</v>
      </c>
      <c r="F489" s="6">
        <v>145</v>
      </c>
    </row>
    <row r="490" spans="1:6" ht="17.25" customHeight="1" x14ac:dyDescent="0.3">
      <c r="A490" s="3">
        <v>487</v>
      </c>
      <c r="B490" s="16">
        <v>2531</v>
      </c>
      <c r="C490" s="9" t="s">
        <v>116</v>
      </c>
      <c r="D490" s="6">
        <v>131170.57999999999</v>
      </c>
      <c r="E490" s="6">
        <v>131170.57999999999</v>
      </c>
      <c r="F490" s="6">
        <v>131170.57999999999</v>
      </c>
    </row>
    <row r="491" spans="1:6" ht="17.25" customHeight="1" x14ac:dyDescent="0.3">
      <c r="A491" s="3">
        <v>488</v>
      </c>
      <c r="B491" s="16">
        <v>2541</v>
      </c>
      <c r="C491" s="9" t="s">
        <v>117</v>
      </c>
      <c r="D491" s="6">
        <f>334.08+54561.63</f>
        <v>54895.71</v>
      </c>
      <c r="E491" s="6">
        <f>334.08+54561.63</f>
        <v>54895.71</v>
      </c>
      <c r="F491" s="6">
        <f>334.08+54561.63</f>
        <v>54895.71</v>
      </c>
    </row>
    <row r="492" spans="1:6" ht="17.25" customHeight="1" x14ac:dyDescent="0.3">
      <c r="A492" s="3">
        <v>489</v>
      </c>
      <c r="B492" s="16">
        <v>2551</v>
      </c>
      <c r="C492" s="9" t="s">
        <v>118</v>
      </c>
      <c r="D492" s="6">
        <f>509009.57+1217242.94</f>
        <v>1726252.51</v>
      </c>
      <c r="E492" s="6">
        <f>509009.57+1217242.94</f>
        <v>1726252.51</v>
      </c>
      <c r="F492" s="6">
        <f>509009.57+1217242.94</f>
        <v>1726252.51</v>
      </c>
    </row>
    <row r="493" spans="1:6" ht="17.25" customHeight="1" x14ac:dyDescent="0.3">
      <c r="A493" s="3">
        <v>490</v>
      </c>
      <c r="B493" s="16">
        <v>2561</v>
      </c>
      <c r="C493" s="9" t="s">
        <v>119</v>
      </c>
      <c r="D493" s="6">
        <f>26226.37+265336.77</f>
        <v>291563.14</v>
      </c>
      <c r="E493" s="6">
        <f>26226.37+265336.77</f>
        <v>291563.14</v>
      </c>
      <c r="F493" s="6">
        <f>26226.37+265336.77</f>
        <v>291563.14</v>
      </c>
    </row>
    <row r="494" spans="1:6" ht="17.25" customHeight="1" x14ac:dyDescent="0.3">
      <c r="A494" s="3">
        <v>491</v>
      </c>
      <c r="B494" s="16">
        <v>2591</v>
      </c>
      <c r="C494" s="7" t="s">
        <v>120</v>
      </c>
      <c r="D494" s="6">
        <f>5895.27+141291.37</f>
        <v>147186.63999999998</v>
      </c>
      <c r="E494" s="6">
        <f>5895.27+141291.37</f>
        <v>147186.63999999998</v>
      </c>
      <c r="F494" s="6">
        <f>5895.27+141291.37</f>
        <v>147186.63999999998</v>
      </c>
    </row>
    <row r="495" spans="1:6" ht="17.25" customHeight="1" x14ac:dyDescent="0.3">
      <c r="A495" s="3">
        <v>492</v>
      </c>
      <c r="B495" s="16">
        <v>2611</v>
      </c>
      <c r="C495" s="10" t="s">
        <v>121</v>
      </c>
      <c r="D495" s="6">
        <f>769831.99+42568.58</f>
        <v>812400.57</v>
      </c>
      <c r="E495" s="6">
        <f>769831.99+42568.58</f>
        <v>812400.57</v>
      </c>
      <c r="F495" s="6">
        <f>769831.99+42568.58</f>
        <v>812400.57</v>
      </c>
    </row>
    <row r="496" spans="1:6" ht="17.25" customHeight="1" x14ac:dyDescent="0.3">
      <c r="A496" s="3">
        <v>493</v>
      </c>
      <c r="B496" s="16">
        <v>2711</v>
      </c>
      <c r="C496" s="10" t="s">
        <v>122</v>
      </c>
      <c r="D496" s="6">
        <f>16340.94+1078230.44</f>
        <v>1094571.3799999999</v>
      </c>
      <c r="E496" s="6">
        <f>16340.94+1078230.44</f>
        <v>1094571.3799999999</v>
      </c>
      <c r="F496" s="6">
        <f>16340.94+1078230.44</f>
        <v>1094571.3799999999</v>
      </c>
    </row>
    <row r="497" spans="1:6" ht="17.25" customHeight="1" x14ac:dyDescent="0.3">
      <c r="A497" s="3">
        <v>494</v>
      </c>
      <c r="B497" s="16">
        <v>2721</v>
      </c>
      <c r="C497" s="10" t="s">
        <v>123</v>
      </c>
      <c r="D497" s="6">
        <f>5712.82+1294549.15</f>
        <v>1300261.97</v>
      </c>
      <c r="E497" s="6">
        <f>5712.82+1294549.15</f>
        <v>1300261.97</v>
      </c>
      <c r="F497" s="6">
        <f>5712.82+1294549.15</f>
        <v>1300261.97</v>
      </c>
    </row>
    <row r="498" spans="1:6" ht="17.25" customHeight="1" x14ac:dyDescent="0.3">
      <c r="A498" s="3">
        <v>495</v>
      </c>
      <c r="B498" s="16">
        <v>2731</v>
      </c>
      <c r="C498" s="10" t="s">
        <v>124</v>
      </c>
      <c r="D498" s="6">
        <v>43689.96</v>
      </c>
      <c r="E498" s="6">
        <v>43689.96</v>
      </c>
      <c r="F498" s="6">
        <v>43689.96</v>
      </c>
    </row>
    <row r="499" spans="1:6" ht="17.25" customHeight="1" x14ac:dyDescent="0.3">
      <c r="A499" s="3">
        <v>496</v>
      </c>
      <c r="B499" s="16">
        <v>2741</v>
      </c>
      <c r="C499" s="10" t="s">
        <v>125</v>
      </c>
      <c r="D499" s="6">
        <f>7393.63+429.93</f>
        <v>7823.56</v>
      </c>
      <c r="E499" s="6">
        <f>7393.63+429.93</f>
        <v>7823.56</v>
      </c>
      <c r="F499" s="6">
        <f>7393.63+429.93</f>
        <v>7823.56</v>
      </c>
    </row>
    <row r="500" spans="1:6" ht="17.25" customHeight="1" x14ac:dyDescent="0.3">
      <c r="A500" s="3">
        <v>497</v>
      </c>
      <c r="B500" s="16">
        <v>2751</v>
      </c>
      <c r="C500" s="7" t="s">
        <v>126</v>
      </c>
      <c r="D500" s="6">
        <v>0</v>
      </c>
      <c r="E500" s="6">
        <v>0</v>
      </c>
      <c r="F500" s="6">
        <v>0</v>
      </c>
    </row>
    <row r="501" spans="1:6" ht="17.25" customHeight="1" x14ac:dyDescent="0.3">
      <c r="A501" s="3">
        <v>498</v>
      </c>
      <c r="B501" s="16">
        <v>2831</v>
      </c>
      <c r="C501" s="7" t="s">
        <v>127</v>
      </c>
      <c r="D501" s="6">
        <v>4613.32</v>
      </c>
      <c r="E501" s="6">
        <v>4613.32</v>
      </c>
      <c r="F501" s="6">
        <v>4613.32</v>
      </c>
    </row>
    <row r="502" spans="1:6" ht="17.25" customHeight="1" x14ac:dyDescent="0.3">
      <c r="A502" s="3">
        <v>499</v>
      </c>
      <c r="B502" s="17">
        <v>2911</v>
      </c>
      <c r="C502" s="10" t="s">
        <v>128</v>
      </c>
      <c r="D502" s="6">
        <f>131987.06+459350.25</f>
        <v>591337.31000000006</v>
      </c>
      <c r="E502" s="6">
        <f>131987.06+459350.25</f>
        <v>591337.31000000006</v>
      </c>
      <c r="F502" s="6">
        <f>131987.06+459350.25</f>
        <v>591337.31000000006</v>
      </c>
    </row>
    <row r="503" spans="1:6" ht="17.25" customHeight="1" x14ac:dyDescent="0.3">
      <c r="A503" s="3">
        <v>500</v>
      </c>
      <c r="B503" s="16">
        <v>2921</v>
      </c>
      <c r="C503" s="10" t="s">
        <v>129</v>
      </c>
      <c r="D503" s="6">
        <f>69405.88+177268.7</f>
        <v>246674.58000000002</v>
      </c>
      <c r="E503" s="6">
        <f>69405.88+177268.7</f>
        <v>246674.58000000002</v>
      </c>
      <c r="F503" s="6">
        <f>69405.88+177268.7</f>
        <v>246674.58000000002</v>
      </c>
    </row>
    <row r="504" spans="1:6" ht="17.25" customHeight="1" x14ac:dyDescent="0.3">
      <c r="A504" s="3">
        <v>501</v>
      </c>
      <c r="B504" s="16">
        <v>2931</v>
      </c>
      <c r="C504" s="10" t="s">
        <v>130</v>
      </c>
      <c r="D504" s="6">
        <f>31157.02+54607</f>
        <v>85764.02</v>
      </c>
      <c r="E504" s="6">
        <f>31157.02+54607</f>
        <v>85764.02</v>
      </c>
      <c r="F504" s="6">
        <f>31157.02+54607</f>
        <v>85764.02</v>
      </c>
    </row>
    <row r="505" spans="1:6" ht="17.25" customHeight="1" x14ac:dyDescent="0.3">
      <c r="A505" s="3">
        <v>502</v>
      </c>
      <c r="B505" s="16">
        <v>2941</v>
      </c>
      <c r="C505" s="10" t="s">
        <v>131</v>
      </c>
      <c r="D505" s="6">
        <f>746635.5+850772.07</f>
        <v>1597407.5699999998</v>
      </c>
      <c r="E505" s="6">
        <f>746635.5+850772.07</f>
        <v>1597407.5699999998</v>
      </c>
      <c r="F505" s="6">
        <f>746635.5+850772.07</f>
        <v>1597407.5699999998</v>
      </c>
    </row>
    <row r="506" spans="1:6" ht="17.25" customHeight="1" x14ac:dyDescent="0.3">
      <c r="A506" s="3">
        <v>503</v>
      </c>
      <c r="B506" s="16">
        <v>2951</v>
      </c>
      <c r="C506" s="7" t="s">
        <v>217</v>
      </c>
      <c r="D506" s="6">
        <v>0</v>
      </c>
      <c r="E506" s="6">
        <v>0</v>
      </c>
      <c r="F506" s="6">
        <v>0</v>
      </c>
    </row>
    <row r="507" spans="1:6" ht="17.25" customHeight="1" x14ac:dyDescent="0.3">
      <c r="A507" s="3">
        <v>504</v>
      </c>
      <c r="B507" s="16">
        <v>2961</v>
      </c>
      <c r="C507" s="7" t="s">
        <v>132</v>
      </c>
      <c r="D507" s="6">
        <f>2143+315.52</f>
        <v>2458.52</v>
      </c>
      <c r="E507" s="6">
        <f>2143+315.52</f>
        <v>2458.52</v>
      </c>
      <c r="F507" s="6">
        <f>2143+315.52</f>
        <v>2458.52</v>
      </c>
    </row>
    <row r="508" spans="1:6" ht="17.25" customHeight="1" x14ac:dyDescent="0.3">
      <c r="A508" s="3">
        <v>505</v>
      </c>
      <c r="B508" s="16">
        <v>2971</v>
      </c>
      <c r="C508" s="7" t="s">
        <v>218</v>
      </c>
      <c r="D508" s="6">
        <v>0</v>
      </c>
      <c r="E508" s="6">
        <v>0</v>
      </c>
      <c r="F508" s="6">
        <v>0</v>
      </c>
    </row>
    <row r="509" spans="1:6" ht="17.25" customHeight="1" x14ac:dyDescent="0.3">
      <c r="A509" s="3">
        <v>506</v>
      </c>
      <c r="B509" s="16">
        <v>2981</v>
      </c>
      <c r="C509" s="7" t="s">
        <v>219</v>
      </c>
      <c r="D509" s="6">
        <v>1392</v>
      </c>
      <c r="E509" s="6">
        <v>1392</v>
      </c>
      <c r="F509" s="6">
        <v>1392</v>
      </c>
    </row>
    <row r="510" spans="1:6" ht="17.25" customHeight="1" x14ac:dyDescent="0.3">
      <c r="A510" s="3">
        <v>507</v>
      </c>
      <c r="B510" s="16">
        <v>2991</v>
      </c>
      <c r="C510" s="7" t="s">
        <v>133</v>
      </c>
      <c r="D510" s="6">
        <f>72975.4+7473.88</f>
        <v>80449.279999999999</v>
      </c>
      <c r="E510" s="6">
        <f>72975.4+7473.88</f>
        <v>80449.279999999999</v>
      </c>
      <c r="F510" s="6">
        <f>72975.4+7473.88</f>
        <v>80449.279999999999</v>
      </c>
    </row>
    <row r="511" spans="1:6" ht="17.25" customHeight="1" x14ac:dyDescent="0.3">
      <c r="A511" s="3">
        <v>508</v>
      </c>
      <c r="B511" s="16">
        <v>3111</v>
      </c>
      <c r="C511" s="7" t="s">
        <v>134</v>
      </c>
      <c r="D511" s="6">
        <v>0</v>
      </c>
      <c r="E511" s="6">
        <v>0</v>
      </c>
      <c r="F511" s="6">
        <v>0</v>
      </c>
    </row>
    <row r="512" spans="1:6" ht="17.25" customHeight="1" x14ac:dyDescent="0.3">
      <c r="A512" s="3">
        <v>509</v>
      </c>
      <c r="B512" s="16">
        <v>3112</v>
      </c>
      <c r="C512" s="10" t="s">
        <v>135</v>
      </c>
      <c r="D512" s="6">
        <f>6915776.64+389928</f>
        <v>7305704.6399999997</v>
      </c>
      <c r="E512" s="6">
        <f>6915776.64+389928</f>
        <v>7305704.6399999997</v>
      </c>
      <c r="F512" s="6">
        <f>6915776.64+389928</f>
        <v>7305704.6399999997</v>
      </c>
    </row>
    <row r="513" spans="1:6" ht="17.25" customHeight="1" x14ac:dyDescent="0.3">
      <c r="A513" s="3">
        <v>510</v>
      </c>
      <c r="B513" s="16">
        <v>3121</v>
      </c>
      <c r="C513" s="10" t="s">
        <v>220</v>
      </c>
      <c r="D513" s="6">
        <v>15185.04</v>
      </c>
      <c r="E513" s="6">
        <v>15185.04</v>
      </c>
      <c r="F513" s="6">
        <v>15185.04</v>
      </c>
    </row>
    <row r="514" spans="1:6" ht="17.25" customHeight="1" x14ac:dyDescent="0.3">
      <c r="A514" s="3">
        <v>511</v>
      </c>
      <c r="B514" s="16">
        <v>3131</v>
      </c>
      <c r="C514" s="10" t="s">
        <v>136</v>
      </c>
      <c r="D514" s="6">
        <f>1749684+664659</f>
        <v>2414343</v>
      </c>
      <c r="E514" s="6">
        <f>1749684+664659</f>
        <v>2414343</v>
      </c>
      <c r="F514" s="6">
        <f>1749684+664659</f>
        <v>2414343</v>
      </c>
    </row>
    <row r="515" spans="1:6" ht="17.25" customHeight="1" x14ac:dyDescent="0.3">
      <c r="A515" s="3">
        <v>512</v>
      </c>
      <c r="B515" s="16">
        <v>3141</v>
      </c>
      <c r="C515" s="10" t="s">
        <v>137</v>
      </c>
      <c r="D515" s="6">
        <f>838955.66+72601.24</f>
        <v>911556.9</v>
      </c>
      <c r="E515" s="6">
        <f>838955.66+72601.24</f>
        <v>911556.9</v>
      </c>
      <c r="F515" s="6">
        <f>838955.66+72601.24</f>
        <v>911556.9</v>
      </c>
    </row>
    <row r="516" spans="1:6" ht="17.25" customHeight="1" x14ac:dyDescent="0.3">
      <c r="A516" s="3">
        <v>513</v>
      </c>
      <c r="B516" s="16">
        <v>3161</v>
      </c>
      <c r="C516" s="10" t="s">
        <v>138</v>
      </c>
      <c r="D516" s="6">
        <f>66139+47828.76</f>
        <v>113967.76000000001</v>
      </c>
      <c r="E516" s="6">
        <f>66139+47828.76</f>
        <v>113967.76000000001</v>
      </c>
      <c r="F516" s="6">
        <f>66139+47828.76</f>
        <v>113967.76000000001</v>
      </c>
    </row>
    <row r="517" spans="1:6" ht="17.25" customHeight="1" x14ac:dyDescent="0.3">
      <c r="A517" s="3">
        <v>514</v>
      </c>
      <c r="B517" s="16">
        <v>3171</v>
      </c>
      <c r="C517" s="10" t="s">
        <v>139</v>
      </c>
      <c r="D517" s="6">
        <f>3107739.78+250031.42</f>
        <v>3357771.1999999997</v>
      </c>
      <c r="E517" s="6">
        <f>3107739.78+250031.42</f>
        <v>3357771.1999999997</v>
      </c>
      <c r="F517" s="6">
        <f>3107739.78+250031.42</f>
        <v>3357771.1999999997</v>
      </c>
    </row>
    <row r="518" spans="1:6" ht="17.25" customHeight="1" x14ac:dyDescent="0.3">
      <c r="A518" s="3">
        <v>515</v>
      </c>
      <c r="B518" s="16">
        <v>3181</v>
      </c>
      <c r="C518" s="10" t="s">
        <v>140</v>
      </c>
      <c r="D518" s="6">
        <v>52737.5</v>
      </c>
      <c r="E518" s="6">
        <v>52737.5</v>
      </c>
      <c r="F518" s="6">
        <v>52737.5</v>
      </c>
    </row>
    <row r="519" spans="1:6" ht="17.25" customHeight="1" x14ac:dyDescent="0.3">
      <c r="A519" s="3">
        <v>516</v>
      </c>
      <c r="B519" s="16">
        <v>3191</v>
      </c>
      <c r="C519" s="7" t="s">
        <v>141</v>
      </c>
      <c r="D519" s="6">
        <f>1712231.92+95642</f>
        <v>1807873.92</v>
      </c>
      <c r="E519" s="6">
        <f>1712231.92+95642</f>
        <v>1807873.92</v>
      </c>
      <c r="F519" s="6">
        <f>1712231.92+95642</f>
        <v>1807873.92</v>
      </c>
    </row>
    <row r="520" spans="1:6" ht="17.25" customHeight="1" x14ac:dyDescent="0.3">
      <c r="A520" s="3">
        <v>517</v>
      </c>
      <c r="B520" s="16">
        <v>3221</v>
      </c>
      <c r="C520" s="10" t="s">
        <v>142</v>
      </c>
      <c r="D520" s="6">
        <v>9040472.1600000001</v>
      </c>
      <c r="E520" s="6">
        <v>9040472.1600000001</v>
      </c>
      <c r="F520" s="6">
        <v>9040472.1600000001</v>
      </c>
    </row>
    <row r="521" spans="1:6" ht="17.25" customHeight="1" x14ac:dyDescent="0.3">
      <c r="A521" s="3">
        <v>518</v>
      </c>
      <c r="B521" s="16">
        <v>3231</v>
      </c>
      <c r="C521" s="10" t="s">
        <v>143</v>
      </c>
      <c r="D521" s="6">
        <v>23896</v>
      </c>
      <c r="E521" s="6">
        <v>23896</v>
      </c>
      <c r="F521" s="6">
        <v>23896</v>
      </c>
    </row>
    <row r="522" spans="1:6" ht="17.25" customHeight="1" x14ac:dyDescent="0.3">
      <c r="A522" s="3">
        <v>519</v>
      </c>
      <c r="B522" s="16">
        <v>3251</v>
      </c>
      <c r="C522" s="7" t="s">
        <v>144</v>
      </c>
      <c r="D522" s="6">
        <v>0</v>
      </c>
      <c r="E522" s="6">
        <v>0</v>
      </c>
      <c r="F522" s="6">
        <v>0</v>
      </c>
    </row>
    <row r="523" spans="1:6" ht="17.25" customHeight="1" x14ac:dyDescent="0.3">
      <c r="A523" s="3">
        <v>520</v>
      </c>
      <c r="B523" s="16">
        <v>3252</v>
      </c>
      <c r="C523" s="7" t="s">
        <v>221</v>
      </c>
      <c r="D523" s="6">
        <v>0</v>
      </c>
      <c r="E523" s="6">
        <v>0</v>
      </c>
      <c r="F523" s="6">
        <v>0</v>
      </c>
    </row>
    <row r="524" spans="1:6" ht="17.25" customHeight="1" x14ac:dyDescent="0.3">
      <c r="A524" s="3">
        <v>521</v>
      </c>
      <c r="B524" s="16">
        <v>3271</v>
      </c>
      <c r="C524" s="10" t="s">
        <v>145</v>
      </c>
      <c r="D524" s="6">
        <f>456366.67+8000</f>
        <v>464366.67</v>
      </c>
      <c r="E524" s="6">
        <f>456366.67+8000</f>
        <v>464366.67</v>
      </c>
      <c r="F524" s="6">
        <f>456366.67+8000</f>
        <v>464366.67</v>
      </c>
    </row>
    <row r="525" spans="1:6" ht="17.25" customHeight="1" x14ac:dyDescent="0.3">
      <c r="A525" s="3">
        <v>522</v>
      </c>
      <c r="B525" s="16">
        <v>3291</v>
      </c>
      <c r="C525" s="10" t="s">
        <v>146</v>
      </c>
      <c r="D525" s="6">
        <v>49119.12</v>
      </c>
      <c r="E525" s="6">
        <v>49119.12</v>
      </c>
      <c r="F525" s="6">
        <v>49119.12</v>
      </c>
    </row>
    <row r="526" spans="1:6" ht="17.25" customHeight="1" x14ac:dyDescent="0.3">
      <c r="A526" s="3">
        <v>523</v>
      </c>
      <c r="B526" s="16">
        <v>3311</v>
      </c>
      <c r="C526" s="10" t="s">
        <v>147</v>
      </c>
      <c r="D526" s="6">
        <v>1255981.67</v>
      </c>
      <c r="E526" s="6">
        <v>1255981.67</v>
      </c>
      <c r="F526" s="6">
        <v>1255981.67</v>
      </c>
    </row>
    <row r="527" spans="1:6" ht="17.25" customHeight="1" x14ac:dyDescent="0.3">
      <c r="A527" s="3">
        <v>524</v>
      </c>
      <c r="B527" s="16">
        <v>3321</v>
      </c>
      <c r="C527" s="7" t="s">
        <v>148</v>
      </c>
      <c r="D527" s="6">
        <f>20992.44+2495057.17+2947321.16</f>
        <v>5463370.7699999996</v>
      </c>
      <c r="E527" s="6">
        <f>20992.44+2495057.17+2947321.16</f>
        <v>5463370.7699999996</v>
      </c>
      <c r="F527" s="6">
        <f>20992.44+2495057.17+2947321.16</f>
        <v>5463370.7699999996</v>
      </c>
    </row>
    <row r="528" spans="1:6" ht="17.25" customHeight="1" x14ac:dyDescent="0.3">
      <c r="A528" s="3">
        <v>525</v>
      </c>
      <c r="B528" s="16">
        <v>3331</v>
      </c>
      <c r="C528" s="10" t="s">
        <v>149</v>
      </c>
      <c r="D528" s="6">
        <f>873139.16+1084600</f>
        <v>1957739.1600000001</v>
      </c>
      <c r="E528" s="6">
        <f>873139.16+1084600</f>
        <v>1957739.1600000001</v>
      </c>
      <c r="F528" s="6">
        <f>873139.16+1084600</f>
        <v>1957739.1600000001</v>
      </c>
    </row>
    <row r="529" spans="1:6" ht="17.25" customHeight="1" x14ac:dyDescent="0.3">
      <c r="A529" s="3">
        <v>526</v>
      </c>
      <c r="B529" s="16">
        <v>3341</v>
      </c>
      <c r="C529" s="10" t="s">
        <v>150</v>
      </c>
      <c r="D529" s="6">
        <f>291016.54+10944.6</f>
        <v>301961.13999999996</v>
      </c>
      <c r="E529" s="6">
        <f>291016.54+10944.6</f>
        <v>301961.13999999996</v>
      </c>
      <c r="F529" s="6">
        <f>291016.54+10944.6</f>
        <v>301961.13999999996</v>
      </c>
    </row>
    <row r="530" spans="1:6" ht="17.25" customHeight="1" x14ac:dyDescent="0.3">
      <c r="A530" s="3">
        <v>527</v>
      </c>
      <c r="B530" s="16">
        <v>3351</v>
      </c>
      <c r="C530" s="10" t="s">
        <v>151</v>
      </c>
      <c r="D530" s="6">
        <v>63429.47</v>
      </c>
      <c r="E530" s="6">
        <v>63429.47</v>
      </c>
      <c r="F530" s="6">
        <v>63429.47</v>
      </c>
    </row>
    <row r="531" spans="1:6" ht="17.25" customHeight="1" x14ac:dyDescent="0.3">
      <c r="A531" s="3">
        <v>528</v>
      </c>
      <c r="B531" s="16">
        <v>3361</v>
      </c>
      <c r="C531" s="10" t="s">
        <v>152</v>
      </c>
      <c r="D531" s="6">
        <f>567623.97+54253.51</f>
        <v>621877.48</v>
      </c>
      <c r="E531" s="6">
        <f>567623.97+54253.51</f>
        <v>621877.48</v>
      </c>
      <c r="F531" s="6">
        <f>567623.97+54253.51</f>
        <v>621877.48</v>
      </c>
    </row>
    <row r="532" spans="1:6" ht="17.25" customHeight="1" x14ac:dyDescent="0.3">
      <c r="A532" s="3">
        <v>529</v>
      </c>
      <c r="B532" s="16">
        <v>3362</v>
      </c>
      <c r="C532" s="10" t="s">
        <v>153</v>
      </c>
      <c r="D532" s="6">
        <f>200881.91+243357.76</f>
        <v>444239.67000000004</v>
      </c>
      <c r="E532" s="6">
        <f>200881.91+243357.76</f>
        <v>444239.67000000004</v>
      </c>
      <c r="F532" s="6">
        <f>200881.91+243357.76</f>
        <v>444239.67000000004</v>
      </c>
    </row>
    <row r="533" spans="1:6" ht="17.25" customHeight="1" x14ac:dyDescent="0.3">
      <c r="A533" s="3">
        <v>530</v>
      </c>
      <c r="B533" s="16">
        <v>3381</v>
      </c>
      <c r="C533" s="10" t="s">
        <v>154</v>
      </c>
      <c r="D533" s="6">
        <f>18879876.29+6597718.95</f>
        <v>25477595.239999998</v>
      </c>
      <c r="E533" s="6">
        <f>18879876.29+6597718.95</f>
        <v>25477595.239999998</v>
      </c>
      <c r="F533" s="6">
        <f>18879876.29+6597718.95</f>
        <v>25477595.239999998</v>
      </c>
    </row>
    <row r="534" spans="1:6" ht="17.25" customHeight="1" x14ac:dyDescent="0.3">
      <c r="A534" s="3">
        <v>531</v>
      </c>
      <c r="B534" s="16">
        <v>3391</v>
      </c>
      <c r="C534" s="10" t="s">
        <v>155</v>
      </c>
      <c r="D534" s="6">
        <f>1354811.03+335714.6</f>
        <v>1690525.63</v>
      </c>
      <c r="E534" s="6">
        <f>1354811.03+335714.6</f>
        <v>1690525.63</v>
      </c>
      <c r="F534" s="6">
        <f>1354811.03+335714.6</f>
        <v>1690525.63</v>
      </c>
    </row>
    <row r="535" spans="1:6" ht="17.25" customHeight="1" x14ac:dyDescent="0.3">
      <c r="A535" s="3">
        <v>532</v>
      </c>
      <c r="B535" s="16">
        <v>3411</v>
      </c>
      <c r="C535" s="7" t="s">
        <v>156</v>
      </c>
      <c r="D535" s="6">
        <v>1696.75</v>
      </c>
      <c r="E535" s="6">
        <v>1696.75</v>
      </c>
      <c r="F535" s="6">
        <v>1696.75</v>
      </c>
    </row>
    <row r="536" spans="1:6" ht="17.25" customHeight="1" x14ac:dyDescent="0.3">
      <c r="A536" s="3">
        <v>533</v>
      </c>
      <c r="B536" s="16">
        <v>3451</v>
      </c>
      <c r="C536" s="10" t="s">
        <v>157</v>
      </c>
      <c r="D536" s="6">
        <f>94067.18+2790</f>
        <v>96857.18</v>
      </c>
      <c r="E536" s="6">
        <f>94067.18+2790</f>
        <v>96857.18</v>
      </c>
      <c r="F536" s="6">
        <f>94067.18+2790</f>
        <v>96857.18</v>
      </c>
    </row>
    <row r="537" spans="1:6" ht="17.25" customHeight="1" x14ac:dyDescent="0.3">
      <c r="A537" s="3">
        <v>534</v>
      </c>
      <c r="B537" s="16">
        <v>3471</v>
      </c>
      <c r="C537" s="10" t="s">
        <v>159</v>
      </c>
      <c r="D537" s="6">
        <v>0</v>
      </c>
      <c r="E537" s="6">
        <v>0</v>
      </c>
      <c r="F537" s="6">
        <v>0</v>
      </c>
    </row>
    <row r="538" spans="1:6" ht="17.25" customHeight="1" x14ac:dyDescent="0.3">
      <c r="A538" s="3">
        <v>535</v>
      </c>
      <c r="B538" s="16">
        <v>3511</v>
      </c>
      <c r="C538" s="10" t="s">
        <v>160</v>
      </c>
      <c r="D538" s="6">
        <v>22411.200000000001</v>
      </c>
      <c r="E538" s="6">
        <v>22411.200000000001</v>
      </c>
      <c r="F538" s="6">
        <v>22411.200000000001</v>
      </c>
    </row>
    <row r="539" spans="1:6" ht="17.25" customHeight="1" x14ac:dyDescent="0.3">
      <c r="A539" s="3">
        <v>536</v>
      </c>
      <c r="B539" s="16">
        <v>3521</v>
      </c>
      <c r="C539" s="10" t="s">
        <v>161</v>
      </c>
      <c r="D539" s="6">
        <v>39275.269999999997</v>
      </c>
      <c r="E539" s="6">
        <v>39275.269999999997</v>
      </c>
      <c r="F539" s="6">
        <v>39275.269999999997</v>
      </c>
    </row>
    <row r="540" spans="1:6" ht="17.25" customHeight="1" x14ac:dyDescent="0.3">
      <c r="A540" s="3">
        <v>537</v>
      </c>
      <c r="B540" s="16">
        <v>3531</v>
      </c>
      <c r="C540" s="10" t="s">
        <v>162</v>
      </c>
      <c r="D540" s="6">
        <f>3753421.87+66932</f>
        <v>3820353.87</v>
      </c>
      <c r="E540" s="6">
        <f>3753421.87+66932</f>
        <v>3820353.87</v>
      </c>
      <c r="F540" s="6">
        <f>3753421.87+66932</f>
        <v>3820353.87</v>
      </c>
    </row>
    <row r="541" spans="1:6" ht="17.25" customHeight="1" x14ac:dyDescent="0.3">
      <c r="A541" s="3">
        <v>538</v>
      </c>
      <c r="B541" s="16">
        <v>3541</v>
      </c>
      <c r="C541" s="10" t="s">
        <v>163</v>
      </c>
      <c r="D541" s="6">
        <f>9280+287946.8</f>
        <v>297226.8</v>
      </c>
      <c r="E541" s="6">
        <f>9280+287946.8</f>
        <v>297226.8</v>
      </c>
      <c r="F541" s="6">
        <f>9280+287946.8</f>
        <v>297226.8</v>
      </c>
    </row>
    <row r="542" spans="1:6" ht="17.25" customHeight="1" x14ac:dyDescent="0.3">
      <c r="A542" s="3">
        <v>539</v>
      </c>
      <c r="B542" s="16">
        <v>3551</v>
      </c>
      <c r="C542" s="10" t="s">
        <v>229</v>
      </c>
      <c r="D542" s="6">
        <v>1943</v>
      </c>
      <c r="E542" s="6">
        <v>1943</v>
      </c>
      <c r="F542" s="6">
        <v>1943</v>
      </c>
    </row>
    <row r="543" spans="1:6" ht="17.25" customHeight="1" x14ac:dyDescent="0.3">
      <c r="A543" s="3">
        <v>540</v>
      </c>
      <c r="B543" s="16">
        <v>3553</v>
      </c>
      <c r="C543" s="10" t="s">
        <v>164</v>
      </c>
      <c r="D543" s="6">
        <f>340562.19+27724</f>
        <v>368286.19</v>
      </c>
      <c r="E543" s="6">
        <f>340562.19+27724</f>
        <v>368286.19</v>
      </c>
      <c r="F543" s="6">
        <f>340562.19+27724</f>
        <v>368286.19</v>
      </c>
    </row>
    <row r="544" spans="1:6" ht="17.25" customHeight="1" x14ac:dyDescent="0.3">
      <c r="A544" s="3">
        <v>541</v>
      </c>
      <c r="B544" s="16">
        <v>3561</v>
      </c>
      <c r="C544" s="10" t="s">
        <v>165</v>
      </c>
      <c r="D544" s="6">
        <f>153061.72+188573.08</f>
        <v>341634.8</v>
      </c>
      <c r="E544" s="6">
        <f>153061.72+188573.08</f>
        <v>341634.8</v>
      </c>
      <c r="F544" s="6">
        <f>153061.72+188573.08</f>
        <v>341634.8</v>
      </c>
    </row>
    <row r="545" spans="1:6" ht="17.25" customHeight="1" x14ac:dyDescent="0.3">
      <c r="A545" s="3">
        <v>542</v>
      </c>
      <c r="B545" s="16">
        <v>3571</v>
      </c>
      <c r="C545" s="10" t="s">
        <v>166</v>
      </c>
      <c r="D545" s="6">
        <f>1356857.74+634805.17</f>
        <v>1991662.9100000001</v>
      </c>
      <c r="E545" s="6">
        <f>1356857.74+634805.17</f>
        <v>1991662.9100000001</v>
      </c>
      <c r="F545" s="6">
        <f>1356857.74+634805.17</f>
        <v>1991662.9100000001</v>
      </c>
    </row>
    <row r="546" spans="1:6" ht="17.25" customHeight="1" x14ac:dyDescent="0.3">
      <c r="A546" s="3">
        <v>543</v>
      </c>
      <c r="B546" s="16">
        <v>3581</v>
      </c>
      <c r="C546" s="10" t="s">
        <v>167</v>
      </c>
      <c r="D546" s="6">
        <f>11136+115599.8</f>
        <v>126735.8</v>
      </c>
      <c r="E546" s="6">
        <f>11136+115599.8</f>
        <v>126735.8</v>
      </c>
      <c r="F546" s="6">
        <f>11136+115599.8</f>
        <v>126735.8</v>
      </c>
    </row>
    <row r="547" spans="1:6" ht="17.25" customHeight="1" x14ac:dyDescent="0.3">
      <c r="A547" s="3">
        <v>544</v>
      </c>
      <c r="B547" s="16">
        <v>3591</v>
      </c>
      <c r="C547" s="10" t="s">
        <v>168</v>
      </c>
      <c r="D547" s="6">
        <f>151989+36655</f>
        <v>188644</v>
      </c>
      <c r="E547" s="6">
        <f>151989+36655</f>
        <v>188644</v>
      </c>
      <c r="F547" s="6">
        <f>151989+36655</f>
        <v>188644</v>
      </c>
    </row>
    <row r="548" spans="1:6" ht="17.25" customHeight="1" x14ac:dyDescent="0.3">
      <c r="A548" s="3">
        <v>545</v>
      </c>
      <c r="B548" s="16">
        <v>3611</v>
      </c>
      <c r="C548" s="12" t="s">
        <v>169</v>
      </c>
      <c r="D548" s="6">
        <f>4147683.24+54741.59</f>
        <v>4202424.83</v>
      </c>
      <c r="E548" s="6">
        <f>4147683.24+54741.59</f>
        <v>4202424.83</v>
      </c>
      <c r="F548" s="6">
        <f>4147683.24+54741.59</f>
        <v>4202424.83</v>
      </c>
    </row>
    <row r="549" spans="1:6" ht="17.25" customHeight="1" x14ac:dyDescent="0.3">
      <c r="A549" s="3">
        <v>546</v>
      </c>
      <c r="B549" s="16">
        <v>3621</v>
      </c>
      <c r="C549" s="7" t="s">
        <v>222</v>
      </c>
      <c r="D549" s="6">
        <v>0</v>
      </c>
      <c r="E549" s="6">
        <v>0</v>
      </c>
      <c r="F549" s="6">
        <v>0</v>
      </c>
    </row>
    <row r="550" spans="1:6" ht="17.25" customHeight="1" x14ac:dyDescent="0.3">
      <c r="A550" s="3">
        <v>547</v>
      </c>
      <c r="B550" s="16">
        <v>3631</v>
      </c>
      <c r="C550" s="7" t="s">
        <v>170</v>
      </c>
      <c r="D550" s="6">
        <v>40144.120000000003</v>
      </c>
      <c r="E550" s="6">
        <v>40144.120000000003</v>
      </c>
      <c r="F550" s="6">
        <v>40144.120000000003</v>
      </c>
    </row>
    <row r="551" spans="1:6" ht="17.25" customHeight="1" x14ac:dyDescent="0.3">
      <c r="A551" s="3">
        <v>548</v>
      </c>
      <c r="B551" s="16">
        <v>3651</v>
      </c>
      <c r="C551" s="10" t="s">
        <v>171</v>
      </c>
      <c r="D551" s="6">
        <v>14790</v>
      </c>
      <c r="E551" s="6">
        <v>14790</v>
      </c>
      <c r="F551" s="6">
        <v>14790</v>
      </c>
    </row>
    <row r="552" spans="1:6" ht="17.25" customHeight="1" x14ac:dyDescent="0.3">
      <c r="A552" s="3">
        <v>549</v>
      </c>
      <c r="B552" s="16">
        <v>3661</v>
      </c>
      <c r="C552" s="7" t="s">
        <v>172</v>
      </c>
      <c r="D552" s="6">
        <v>216920</v>
      </c>
      <c r="E552" s="6">
        <v>216920</v>
      </c>
      <c r="F552" s="6">
        <v>216920</v>
      </c>
    </row>
    <row r="553" spans="1:6" ht="17.25" customHeight="1" x14ac:dyDescent="0.3">
      <c r="A553" s="3">
        <v>550</v>
      </c>
      <c r="B553" s="16">
        <v>3711</v>
      </c>
      <c r="C553" s="10" t="s">
        <v>173</v>
      </c>
      <c r="D553" s="6">
        <f>62810.07+5397</f>
        <v>68207.070000000007</v>
      </c>
      <c r="E553" s="6">
        <f>62810.07+5397</f>
        <v>68207.070000000007</v>
      </c>
      <c r="F553" s="6">
        <f>62810.07+5397</f>
        <v>68207.070000000007</v>
      </c>
    </row>
    <row r="554" spans="1:6" ht="17.25" customHeight="1" x14ac:dyDescent="0.3">
      <c r="A554" s="3">
        <v>551</v>
      </c>
      <c r="B554" s="16">
        <v>3712</v>
      </c>
      <c r="C554" s="10" t="s">
        <v>174</v>
      </c>
      <c r="D554" s="6">
        <f>365826.62+22352.39</f>
        <v>388179.01</v>
      </c>
      <c r="E554" s="6">
        <f>365826.62+22352.39</f>
        <v>388179.01</v>
      </c>
      <c r="F554" s="6">
        <f>365826.62+22352.39</f>
        <v>388179.01</v>
      </c>
    </row>
    <row r="555" spans="1:6" ht="17.25" customHeight="1" x14ac:dyDescent="0.3">
      <c r="A555" s="3">
        <v>552</v>
      </c>
      <c r="B555" s="16">
        <v>3721</v>
      </c>
      <c r="C555" s="10" t="s">
        <v>175</v>
      </c>
      <c r="D555" s="6">
        <v>11614.5</v>
      </c>
      <c r="E555" s="6">
        <v>11614.5</v>
      </c>
      <c r="F555" s="6">
        <v>11614.5</v>
      </c>
    </row>
    <row r="556" spans="1:6" ht="17.25" customHeight="1" x14ac:dyDescent="0.3">
      <c r="A556" s="3">
        <v>553</v>
      </c>
      <c r="B556" s="16">
        <v>3722</v>
      </c>
      <c r="C556" s="10" t="s">
        <v>176</v>
      </c>
      <c r="D556" s="6">
        <f>66115.99+633</f>
        <v>66748.990000000005</v>
      </c>
      <c r="E556" s="6">
        <f>66115.99+633</f>
        <v>66748.990000000005</v>
      </c>
      <c r="F556" s="6">
        <f>66115.99+633</f>
        <v>66748.990000000005</v>
      </c>
    </row>
    <row r="557" spans="1:6" ht="17.25" customHeight="1" x14ac:dyDescent="0.3">
      <c r="A557" s="3">
        <v>554</v>
      </c>
      <c r="B557" s="16">
        <v>3723</v>
      </c>
      <c r="C557" s="7" t="s">
        <v>177</v>
      </c>
      <c r="D557" s="6">
        <v>12554.5</v>
      </c>
      <c r="E557" s="6">
        <v>12554.5</v>
      </c>
      <c r="F557" s="6">
        <v>12554.5</v>
      </c>
    </row>
    <row r="558" spans="1:6" ht="17.25" customHeight="1" x14ac:dyDescent="0.3">
      <c r="A558" s="3">
        <v>555</v>
      </c>
      <c r="B558" s="16">
        <v>3741</v>
      </c>
      <c r="C558" s="7" t="s">
        <v>178</v>
      </c>
      <c r="D558" s="6">
        <v>0</v>
      </c>
      <c r="E558" s="6">
        <v>0</v>
      </c>
      <c r="F558" s="6">
        <v>0</v>
      </c>
    </row>
    <row r="559" spans="1:6" ht="17.25" customHeight="1" x14ac:dyDescent="0.3">
      <c r="A559" s="3">
        <v>556</v>
      </c>
      <c r="B559" s="16">
        <v>3751</v>
      </c>
      <c r="C559" s="10" t="s">
        <v>179</v>
      </c>
      <c r="D559" s="6">
        <f>184431.26+14619.98</f>
        <v>199051.24000000002</v>
      </c>
      <c r="E559" s="6">
        <f>184431.26+14619.98</f>
        <v>199051.24000000002</v>
      </c>
      <c r="F559" s="6">
        <f>184431.26+14619.98</f>
        <v>199051.24000000002</v>
      </c>
    </row>
    <row r="560" spans="1:6" ht="17.25" customHeight="1" x14ac:dyDescent="0.3">
      <c r="A560" s="3">
        <v>557</v>
      </c>
      <c r="B560" s="16">
        <v>3761</v>
      </c>
      <c r="C560" s="10" t="s">
        <v>180</v>
      </c>
      <c r="D560" s="6">
        <f>102076.64+10271.82</f>
        <v>112348.45999999999</v>
      </c>
      <c r="E560" s="6">
        <f>102076.64+10271.82</f>
        <v>112348.45999999999</v>
      </c>
      <c r="F560" s="6">
        <f>102076.64+10271.82</f>
        <v>112348.45999999999</v>
      </c>
    </row>
    <row r="561" spans="1:6" ht="17.25" customHeight="1" x14ac:dyDescent="0.3">
      <c r="A561" s="3">
        <v>558</v>
      </c>
      <c r="B561" s="16">
        <v>3781</v>
      </c>
      <c r="C561" s="7" t="s">
        <v>181</v>
      </c>
      <c r="D561" s="6">
        <v>0</v>
      </c>
      <c r="E561" s="6">
        <v>0</v>
      </c>
      <c r="F561" s="6">
        <v>0</v>
      </c>
    </row>
    <row r="562" spans="1:6" ht="17.25" customHeight="1" x14ac:dyDescent="0.3">
      <c r="A562" s="3">
        <v>559</v>
      </c>
      <c r="B562" s="16">
        <v>3791</v>
      </c>
      <c r="C562" s="7" t="s">
        <v>182</v>
      </c>
      <c r="D562" s="6">
        <v>3666.9</v>
      </c>
      <c r="E562" s="6">
        <v>3666.9</v>
      </c>
      <c r="F562" s="6">
        <v>3666.9</v>
      </c>
    </row>
    <row r="563" spans="1:6" ht="17.25" customHeight="1" x14ac:dyDescent="0.3">
      <c r="A563" s="3">
        <v>560</v>
      </c>
      <c r="B563" s="16">
        <v>3822</v>
      </c>
      <c r="C563" s="7" t="s">
        <v>230</v>
      </c>
      <c r="D563" s="6">
        <v>23000</v>
      </c>
      <c r="E563" s="6">
        <v>23000</v>
      </c>
      <c r="F563" s="6">
        <v>23000</v>
      </c>
    </row>
    <row r="564" spans="1:6" ht="17.25" customHeight="1" x14ac:dyDescent="0.3">
      <c r="A564" s="3">
        <v>561</v>
      </c>
      <c r="B564" s="16">
        <v>3823</v>
      </c>
      <c r="C564" s="10" t="s">
        <v>183</v>
      </c>
      <c r="D564" s="6">
        <f>3426759.15+305571.6</f>
        <v>3732330.75</v>
      </c>
      <c r="E564" s="6">
        <f>3426759.15+305571.6</f>
        <v>3732330.75</v>
      </c>
      <c r="F564" s="6">
        <f>3426759.15+305571.6</f>
        <v>3732330.75</v>
      </c>
    </row>
    <row r="565" spans="1:6" ht="17.25" customHeight="1" x14ac:dyDescent="0.3">
      <c r="A565" s="3">
        <v>562</v>
      </c>
      <c r="B565" s="16">
        <v>3831</v>
      </c>
      <c r="C565" s="10" t="s">
        <v>184</v>
      </c>
      <c r="D565" s="6">
        <v>633840.61</v>
      </c>
      <c r="E565" s="6">
        <v>633840.61</v>
      </c>
      <c r="F565" s="6">
        <v>633840.61</v>
      </c>
    </row>
    <row r="566" spans="1:6" ht="17.25" customHeight="1" x14ac:dyDescent="0.3">
      <c r="A566" s="3">
        <v>563</v>
      </c>
      <c r="B566" s="16">
        <v>3832</v>
      </c>
      <c r="C566" s="10" t="s">
        <v>185</v>
      </c>
      <c r="D566" s="6">
        <f>187253.58+167092.42</f>
        <v>354346</v>
      </c>
      <c r="E566" s="6">
        <f>187253.58+167092.42</f>
        <v>354346</v>
      </c>
      <c r="F566" s="6">
        <f>187253.58+167092.42</f>
        <v>354346</v>
      </c>
    </row>
    <row r="567" spans="1:6" ht="17.25" customHeight="1" x14ac:dyDescent="0.3">
      <c r="A567" s="3">
        <v>564</v>
      </c>
      <c r="B567" s="16">
        <v>3921</v>
      </c>
      <c r="C567" s="7" t="s">
        <v>186</v>
      </c>
      <c r="D567" s="6">
        <f>102751.88</f>
        <v>102751.88</v>
      </c>
      <c r="E567" s="6">
        <f>102751.88</f>
        <v>102751.88</v>
      </c>
      <c r="F567" s="6">
        <f>102751.88</f>
        <v>102751.88</v>
      </c>
    </row>
    <row r="568" spans="1:6" ht="17.25" customHeight="1" x14ac:dyDescent="0.3">
      <c r="A568" s="3">
        <v>565</v>
      </c>
      <c r="B568" s="16">
        <v>3969</v>
      </c>
      <c r="C568" s="7" t="s">
        <v>187</v>
      </c>
      <c r="D568" s="6">
        <v>223941.65</v>
      </c>
      <c r="E568" s="6">
        <v>223941.65</v>
      </c>
      <c r="F568" s="6">
        <v>223941.65</v>
      </c>
    </row>
    <row r="569" spans="1:6" ht="17.25" customHeight="1" x14ac:dyDescent="0.3">
      <c r="A569" s="3">
        <v>566</v>
      </c>
      <c r="B569" s="16">
        <v>3981</v>
      </c>
      <c r="C569" s="7" t="s">
        <v>188</v>
      </c>
      <c r="D569" s="6">
        <f>24892780+1821703</f>
        <v>26714483</v>
      </c>
      <c r="E569" s="6">
        <f>24892780+1821703</f>
        <v>26714483</v>
      </c>
      <c r="F569" s="6">
        <f>24892780+1821703</f>
        <v>26714483</v>
      </c>
    </row>
    <row r="570" spans="1:6" ht="17.25" customHeight="1" x14ac:dyDescent="0.3">
      <c r="A570" s="3">
        <v>567</v>
      </c>
      <c r="B570" s="16">
        <v>4121</v>
      </c>
      <c r="C570" s="7" t="s">
        <v>189</v>
      </c>
      <c r="D570" s="6">
        <v>0</v>
      </c>
      <c r="E570" s="6">
        <v>0</v>
      </c>
      <c r="F570" s="6">
        <v>0</v>
      </c>
    </row>
    <row r="571" spans="1:6" ht="17.25" customHeight="1" x14ac:dyDescent="0.3">
      <c r="A571" s="3">
        <v>568</v>
      </c>
      <c r="B571" s="16">
        <v>4141</v>
      </c>
      <c r="C571" s="7" t="s">
        <v>223</v>
      </c>
      <c r="D571" s="6">
        <v>0</v>
      </c>
      <c r="E571" s="6">
        <v>0</v>
      </c>
      <c r="F571" s="6">
        <v>0</v>
      </c>
    </row>
    <row r="572" spans="1:6" ht="17.25" customHeight="1" x14ac:dyDescent="0.3">
      <c r="A572" s="3">
        <v>569</v>
      </c>
      <c r="B572" s="16">
        <v>4411</v>
      </c>
      <c r="C572" s="10" t="s">
        <v>190</v>
      </c>
      <c r="D572" s="6">
        <v>44494.720000000001</v>
      </c>
      <c r="E572" s="6">
        <v>44494.720000000001</v>
      </c>
      <c r="F572" s="6">
        <v>44494.720000000001</v>
      </c>
    </row>
    <row r="573" spans="1:6" ht="17.25" customHeight="1" x14ac:dyDescent="0.3">
      <c r="A573" s="3">
        <v>570</v>
      </c>
      <c r="B573" s="16">
        <v>4419</v>
      </c>
      <c r="C573" s="10" t="s">
        <v>191</v>
      </c>
      <c r="D573" s="6">
        <v>184754</v>
      </c>
      <c r="E573" s="6">
        <v>184754</v>
      </c>
      <c r="F573" s="6">
        <v>184754</v>
      </c>
    </row>
    <row r="574" spans="1:6" ht="17.25" customHeight="1" x14ac:dyDescent="0.3">
      <c r="A574" s="3">
        <v>571</v>
      </c>
      <c r="B574" s="16">
        <v>4421</v>
      </c>
      <c r="C574" s="10" t="s">
        <v>192</v>
      </c>
      <c r="D574" s="6">
        <f>22685678.4+12999659.2</f>
        <v>35685337.599999994</v>
      </c>
      <c r="E574" s="6">
        <f>22685678.4+12999659.2</f>
        <v>35685337.599999994</v>
      </c>
      <c r="F574" s="6">
        <f>22685678.4+12999659.2</f>
        <v>35685337.599999994</v>
      </c>
    </row>
    <row r="575" spans="1:6" ht="17.25" customHeight="1" x14ac:dyDescent="0.3">
      <c r="A575" s="3">
        <v>572</v>
      </c>
      <c r="B575" s="16">
        <v>4441</v>
      </c>
      <c r="C575" s="10" t="s">
        <v>193</v>
      </c>
      <c r="D575" s="6">
        <f>1027227.09+411767.18</f>
        <v>1438994.27</v>
      </c>
      <c r="E575" s="6">
        <f>1027227.09+411767.18</f>
        <v>1438994.27</v>
      </c>
      <c r="F575" s="6">
        <f>1027227.09+411767.18</f>
        <v>1438994.27</v>
      </c>
    </row>
    <row r="576" spans="1:6" ht="17.25" customHeight="1" x14ac:dyDescent="0.3">
      <c r="A576" s="3">
        <v>573</v>
      </c>
      <c r="B576" s="16">
        <v>5111</v>
      </c>
      <c r="C576" s="10" t="s">
        <v>194</v>
      </c>
      <c r="D576" s="6">
        <f>650819.29+775455.65</f>
        <v>1426274.94</v>
      </c>
      <c r="E576" s="6">
        <f>650819.29+775455.65</f>
        <v>1426274.94</v>
      </c>
      <c r="F576" s="6">
        <f>650819.29+775455.65</f>
        <v>1426274.94</v>
      </c>
    </row>
    <row r="577" spans="1:6" ht="17.25" customHeight="1" x14ac:dyDescent="0.3">
      <c r="A577" s="3">
        <v>574</v>
      </c>
      <c r="B577" s="16">
        <v>5121</v>
      </c>
      <c r="C577" s="12" t="s">
        <v>224</v>
      </c>
      <c r="D577" s="6">
        <v>71059.28</v>
      </c>
      <c r="E577" s="6">
        <v>71059.28</v>
      </c>
      <c r="F577" s="6">
        <v>71059.28</v>
      </c>
    </row>
    <row r="578" spans="1:6" ht="17.25" customHeight="1" x14ac:dyDescent="0.3">
      <c r="A578" s="3">
        <v>575</v>
      </c>
      <c r="B578" s="16">
        <v>5131</v>
      </c>
      <c r="C578" s="10" t="s">
        <v>195</v>
      </c>
      <c r="D578" s="6">
        <f>459066.04+220059.58</f>
        <v>679125.62</v>
      </c>
      <c r="E578" s="6">
        <f>459066.04+220059.58</f>
        <v>679125.62</v>
      </c>
      <c r="F578" s="6">
        <f>459066.04+220059.58</f>
        <v>679125.62</v>
      </c>
    </row>
    <row r="579" spans="1:6" ht="17.25" customHeight="1" x14ac:dyDescent="0.3">
      <c r="A579" s="3">
        <v>576</v>
      </c>
      <c r="B579" s="16">
        <v>5151</v>
      </c>
      <c r="C579" s="10" t="s">
        <v>196</v>
      </c>
      <c r="D579" s="6">
        <f>754131.84+5575165.49</f>
        <v>6329297.3300000001</v>
      </c>
      <c r="E579" s="6">
        <f>754131.84+5575165.49</f>
        <v>6329297.3300000001</v>
      </c>
      <c r="F579" s="6">
        <f>754131.84+5575165.49</f>
        <v>6329297.3300000001</v>
      </c>
    </row>
    <row r="580" spans="1:6" ht="17.25" customHeight="1" x14ac:dyDescent="0.3">
      <c r="A580" s="3">
        <v>577</v>
      </c>
      <c r="B580" s="16">
        <v>5191</v>
      </c>
      <c r="C580" s="10" t="s">
        <v>197</v>
      </c>
      <c r="D580" s="6">
        <f>471556.62+473667.96</f>
        <v>945224.58000000007</v>
      </c>
      <c r="E580" s="6">
        <f>471556.62+473667.96</f>
        <v>945224.58000000007</v>
      </c>
      <c r="F580" s="6">
        <f>471556.62+473667.96</f>
        <v>945224.58000000007</v>
      </c>
    </row>
    <row r="581" spans="1:6" ht="17.25" customHeight="1" x14ac:dyDescent="0.3">
      <c r="A581" s="3">
        <v>578</v>
      </c>
      <c r="B581" s="16">
        <v>5211</v>
      </c>
      <c r="C581" s="10" t="s">
        <v>198</v>
      </c>
      <c r="D581" s="6">
        <f>431332.8+845640.96</f>
        <v>1276973.76</v>
      </c>
      <c r="E581" s="6">
        <f>431332.8+845640.96</f>
        <v>1276973.76</v>
      </c>
      <c r="F581" s="6">
        <f>431332.8+845640.96</f>
        <v>1276973.76</v>
      </c>
    </row>
    <row r="582" spans="1:6" ht="17.25" customHeight="1" x14ac:dyDescent="0.3">
      <c r="A582" s="3">
        <v>579</v>
      </c>
      <c r="B582" s="16">
        <v>5231</v>
      </c>
      <c r="C582" s="10" t="s">
        <v>199</v>
      </c>
      <c r="D582" s="6">
        <f>836884.8+486907.53</f>
        <v>1323792.33</v>
      </c>
      <c r="E582" s="6">
        <f>836884.8+486907.53</f>
        <v>1323792.33</v>
      </c>
      <c r="F582" s="6">
        <f>836884.8+486907.53</f>
        <v>1323792.33</v>
      </c>
    </row>
    <row r="583" spans="1:6" ht="17.25" customHeight="1" x14ac:dyDescent="0.3">
      <c r="A583" s="3">
        <v>580</v>
      </c>
      <c r="B583" s="16">
        <v>5291</v>
      </c>
      <c r="C583" s="10" t="s">
        <v>200</v>
      </c>
      <c r="D583" s="6">
        <f>43244.8+137465.8</f>
        <v>180710.59999999998</v>
      </c>
      <c r="E583" s="6">
        <f>43244.8+137465.8</f>
        <v>180710.59999999998</v>
      </c>
      <c r="F583" s="6">
        <f>43244.8+137465.8</f>
        <v>180710.59999999998</v>
      </c>
    </row>
    <row r="584" spans="1:6" ht="17.25" customHeight="1" x14ac:dyDescent="0.3">
      <c r="A584" s="3">
        <v>581</v>
      </c>
      <c r="B584" s="16">
        <v>5311</v>
      </c>
      <c r="C584" s="10" t="s">
        <v>201</v>
      </c>
      <c r="D584" s="6">
        <f>227754.21+85743.45</f>
        <v>313497.65999999997</v>
      </c>
      <c r="E584" s="6">
        <f>227754.21+85743.45</f>
        <v>313497.65999999997</v>
      </c>
      <c r="F584" s="6">
        <f>227754.21+85743.45</f>
        <v>313497.65999999997</v>
      </c>
    </row>
    <row r="585" spans="1:6" ht="17.25" customHeight="1" x14ac:dyDescent="0.3">
      <c r="A585" s="3">
        <v>582</v>
      </c>
      <c r="B585" s="16">
        <v>5321</v>
      </c>
      <c r="C585" s="10" t="s">
        <v>202</v>
      </c>
      <c r="D585" s="6">
        <f>135242.62+196814.24</f>
        <v>332056.86</v>
      </c>
      <c r="E585" s="6">
        <f>135242.62+196814.24</f>
        <v>332056.86</v>
      </c>
      <c r="F585" s="6">
        <f>135242.62+196814.24</f>
        <v>332056.86</v>
      </c>
    </row>
    <row r="586" spans="1:6" ht="17.25" customHeight="1" x14ac:dyDescent="0.3">
      <c r="A586" s="3">
        <v>583</v>
      </c>
      <c r="B586" s="16">
        <v>5411</v>
      </c>
      <c r="C586" s="7" t="s">
        <v>203</v>
      </c>
      <c r="D586" s="6">
        <v>0</v>
      </c>
      <c r="E586" s="6">
        <v>0</v>
      </c>
      <c r="F586" s="6">
        <v>0</v>
      </c>
    </row>
    <row r="587" spans="1:6" ht="17.25" customHeight="1" x14ac:dyDescent="0.3">
      <c r="A587" s="3">
        <v>584</v>
      </c>
      <c r="B587" s="16">
        <v>5412</v>
      </c>
      <c r="C587" s="7" t="s">
        <v>231</v>
      </c>
      <c r="D587" s="6">
        <v>646399.56000000006</v>
      </c>
      <c r="E587" s="6">
        <v>646399.56000000006</v>
      </c>
      <c r="F587" s="6">
        <v>646399.56000000006</v>
      </c>
    </row>
    <row r="588" spans="1:6" ht="17.25" customHeight="1" x14ac:dyDescent="0.3">
      <c r="A588" s="3">
        <v>585</v>
      </c>
      <c r="B588" s="16">
        <v>5413</v>
      </c>
      <c r="C588" s="7" t="s">
        <v>225</v>
      </c>
      <c r="D588" s="6">
        <v>1737999.97</v>
      </c>
      <c r="E588" s="6">
        <v>1737999.97</v>
      </c>
      <c r="F588" s="6">
        <v>1737999.97</v>
      </c>
    </row>
    <row r="589" spans="1:6" ht="17.25" customHeight="1" x14ac:dyDescent="0.3">
      <c r="A589" s="3">
        <v>586</v>
      </c>
      <c r="B589" s="16">
        <v>5431</v>
      </c>
      <c r="C589" s="7" t="s">
        <v>232</v>
      </c>
      <c r="D589" s="6">
        <v>31331.599999999999</v>
      </c>
      <c r="E589" s="6">
        <v>31331.599999999999</v>
      </c>
      <c r="F589" s="6">
        <v>31331.599999999999</v>
      </c>
    </row>
    <row r="590" spans="1:6" ht="17.25" customHeight="1" x14ac:dyDescent="0.3">
      <c r="A590" s="3">
        <v>587</v>
      </c>
      <c r="B590" s="16">
        <v>5491</v>
      </c>
      <c r="C590" s="7" t="s">
        <v>226</v>
      </c>
      <c r="D590" s="6">
        <v>17400</v>
      </c>
      <c r="E590" s="6">
        <v>17400</v>
      </c>
      <c r="F590" s="6">
        <v>17400</v>
      </c>
    </row>
    <row r="591" spans="1:6" ht="17.25" customHeight="1" x14ac:dyDescent="0.3">
      <c r="A591" s="3">
        <v>588</v>
      </c>
      <c r="B591" s="16">
        <v>5511</v>
      </c>
      <c r="C591" s="7" t="s">
        <v>233</v>
      </c>
      <c r="D591" s="6">
        <v>66120</v>
      </c>
      <c r="E591" s="6">
        <v>66120</v>
      </c>
      <c r="F591" s="6">
        <v>66120</v>
      </c>
    </row>
    <row r="592" spans="1:6" ht="17.25" customHeight="1" x14ac:dyDescent="0.3">
      <c r="A592" s="3">
        <v>589</v>
      </c>
      <c r="B592" s="16">
        <v>5611</v>
      </c>
      <c r="C592" s="10" t="s">
        <v>227</v>
      </c>
      <c r="D592" s="6">
        <f>21390.4+8410.35</f>
        <v>29800.75</v>
      </c>
      <c r="E592" s="6">
        <f>21390.4+8410.35</f>
        <v>29800.75</v>
      </c>
      <c r="F592" s="6">
        <f>21390.4+8410.35</f>
        <v>29800.75</v>
      </c>
    </row>
    <row r="593" spans="1:6" ht="17.25" customHeight="1" x14ac:dyDescent="0.3">
      <c r="A593" s="3">
        <v>590</v>
      </c>
      <c r="B593" s="16">
        <v>5621</v>
      </c>
      <c r="C593" s="7" t="s">
        <v>204</v>
      </c>
      <c r="D593" s="6">
        <f>22600.28+151095.09</f>
        <v>173695.37</v>
      </c>
      <c r="E593" s="6">
        <f>22600.28+151095.09</f>
        <v>173695.37</v>
      </c>
      <c r="F593" s="6">
        <f>22600.28+151095.09</f>
        <v>173695.37</v>
      </c>
    </row>
    <row r="594" spans="1:6" ht="17.25" customHeight="1" x14ac:dyDescent="0.3">
      <c r="A594" s="3">
        <v>591</v>
      </c>
      <c r="B594" s="16">
        <v>5631</v>
      </c>
      <c r="C594" s="7" t="s">
        <v>205</v>
      </c>
      <c r="D594" s="6">
        <v>0</v>
      </c>
      <c r="E594" s="6">
        <v>0</v>
      </c>
      <c r="F594" s="6">
        <v>0</v>
      </c>
    </row>
    <row r="595" spans="1:6" ht="17.25" customHeight="1" x14ac:dyDescent="0.3">
      <c r="A595" s="3">
        <v>592</v>
      </c>
      <c r="B595" s="16">
        <v>5641</v>
      </c>
      <c r="C595" s="7" t="s">
        <v>206</v>
      </c>
      <c r="D595" s="6">
        <f>28519.76+218666.64</f>
        <v>247186.40000000002</v>
      </c>
      <c r="E595" s="6">
        <f>28519.76+218666.64</f>
        <v>247186.40000000002</v>
      </c>
      <c r="F595" s="6">
        <f>28519.76+218666.64</f>
        <v>247186.40000000002</v>
      </c>
    </row>
    <row r="596" spans="1:6" ht="17.25" customHeight="1" x14ac:dyDescent="0.3">
      <c r="A596" s="3">
        <v>593</v>
      </c>
      <c r="B596" s="16">
        <v>5651</v>
      </c>
      <c r="C596" s="7" t="s">
        <v>207</v>
      </c>
      <c r="D596" s="6">
        <f>114376+845192.99</f>
        <v>959568.99</v>
      </c>
      <c r="E596" s="6">
        <f>114376+845192.99</f>
        <v>959568.99</v>
      </c>
      <c r="F596" s="6">
        <f>114376+845192.99</f>
        <v>959568.99</v>
      </c>
    </row>
    <row r="597" spans="1:6" ht="17.25" customHeight="1" x14ac:dyDescent="0.3">
      <c r="A597" s="3">
        <v>594</v>
      </c>
      <c r="B597" s="16">
        <v>5661</v>
      </c>
      <c r="C597" s="7" t="s">
        <v>208</v>
      </c>
      <c r="D597" s="6">
        <v>169424.85</v>
      </c>
      <c r="E597" s="6">
        <v>169424.85</v>
      </c>
      <c r="F597" s="6">
        <v>169424.85</v>
      </c>
    </row>
    <row r="598" spans="1:6" ht="17.25" customHeight="1" x14ac:dyDescent="0.3">
      <c r="A598" s="3">
        <v>595</v>
      </c>
      <c r="B598" s="16">
        <v>5671</v>
      </c>
      <c r="C598" s="7" t="s">
        <v>209</v>
      </c>
      <c r="D598" s="6">
        <f>14030.2+16112.4</f>
        <v>30142.6</v>
      </c>
      <c r="E598" s="6">
        <f>14030.2+16112.4</f>
        <v>30142.6</v>
      </c>
      <c r="F598" s="6">
        <f>14030.2+16112.4</f>
        <v>30142.6</v>
      </c>
    </row>
    <row r="599" spans="1:6" ht="17.25" customHeight="1" x14ac:dyDescent="0.3">
      <c r="A599" s="3">
        <v>596</v>
      </c>
      <c r="B599" s="16">
        <v>5691</v>
      </c>
      <c r="C599" s="7" t="s">
        <v>210</v>
      </c>
      <c r="D599" s="6">
        <f>8118.38+47676</f>
        <v>55794.38</v>
      </c>
      <c r="E599" s="6">
        <f>8118.38+47676</f>
        <v>55794.38</v>
      </c>
      <c r="F599" s="6">
        <f>8118.38+47676</f>
        <v>55794.38</v>
      </c>
    </row>
    <row r="600" spans="1:6" ht="17.25" customHeight="1" x14ac:dyDescent="0.3">
      <c r="A600" s="3">
        <v>597</v>
      </c>
      <c r="B600" s="16">
        <v>5781</v>
      </c>
      <c r="C600" s="7" t="s">
        <v>234</v>
      </c>
      <c r="D600" s="6">
        <v>0</v>
      </c>
      <c r="E600" s="6">
        <v>0</v>
      </c>
      <c r="F600" s="6">
        <v>0</v>
      </c>
    </row>
    <row r="601" spans="1:6" ht="17.25" customHeight="1" x14ac:dyDescent="0.3">
      <c r="A601" s="3">
        <v>598</v>
      </c>
      <c r="B601" s="16">
        <v>5811</v>
      </c>
      <c r="C601" s="7" t="s">
        <v>211</v>
      </c>
      <c r="D601" s="6">
        <v>0</v>
      </c>
      <c r="E601" s="6">
        <v>0</v>
      </c>
      <c r="F601" s="6">
        <v>0</v>
      </c>
    </row>
    <row r="602" spans="1:6" ht="17.25" customHeight="1" x14ac:dyDescent="0.3">
      <c r="A602" s="3">
        <v>599</v>
      </c>
      <c r="B602" s="16">
        <v>5911</v>
      </c>
      <c r="C602" s="7" t="s">
        <v>212</v>
      </c>
      <c r="D602" s="6">
        <v>102502.45</v>
      </c>
      <c r="E602" s="6">
        <v>102502.45</v>
      </c>
      <c r="F602" s="6">
        <v>102502.45</v>
      </c>
    </row>
    <row r="603" spans="1:6" ht="17.25" customHeight="1" x14ac:dyDescent="0.3">
      <c r="A603" s="3">
        <v>600</v>
      </c>
      <c r="B603" s="16">
        <v>5941</v>
      </c>
      <c r="C603" s="7" t="s">
        <v>213</v>
      </c>
      <c r="D603" s="6">
        <v>5611.5</v>
      </c>
      <c r="E603" s="6">
        <v>5611.5</v>
      </c>
      <c r="F603" s="6">
        <v>5611.5</v>
      </c>
    </row>
    <row r="604" spans="1:6" ht="17.25" customHeight="1" x14ac:dyDescent="0.3">
      <c r="A604" s="3">
        <v>601</v>
      </c>
      <c r="B604" s="18">
        <v>6221</v>
      </c>
      <c r="C604" s="7" t="s">
        <v>214</v>
      </c>
      <c r="D604" s="13">
        <f>45425848.19+58064668.43</f>
        <v>103490516.62</v>
      </c>
      <c r="E604" s="13">
        <f>45425848.19+58064668.43</f>
        <v>103490516.62</v>
      </c>
      <c r="F604" s="13">
        <f>45425848.19+58064668.43</f>
        <v>103490516.62</v>
      </c>
    </row>
    <row r="605" spans="1:6" ht="17.25" customHeight="1" x14ac:dyDescent="0.3">
      <c r="A605" s="3">
        <v>602</v>
      </c>
      <c r="B605" s="18">
        <v>6241</v>
      </c>
      <c r="C605" s="7" t="s">
        <v>235</v>
      </c>
      <c r="D605" s="13">
        <v>0</v>
      </c>
      <c r="E605" s="13">
        <v>0</v>
      </c>
      <c r="F605" s="13">
        <v>0</v>
      </c>
    </row>
    <row r="606" spans="1:6" ht="17.25" customHeight="1" x14ac:dyDescent="0.3">
      <c r="A606" s="3">
        <v>603</v>
      </c>
      <c r="B606" s="18">
        <v>6271</v>
      </c>
      <c r="C606" s="7" t="s">
        <v>215</v>
      </c>
      <c r="D606" s="13">
        <v>1096723.9099999999</v>
      </c>
      <c r="E606" s="13">
        <v>1096723.9099999999</v>
      </c>
      <c r="F606" s="13">
        <v>1096723.9099999999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Tabla_220616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2021-07-29T21:49:03Z</dcterms:created>
  <dcterms:modified xsi:type="dcterms:W3CDTF">2023-05-02T02:44:21Z</dcterms:modified>
</cp:coreProperties>
</file>